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codeName="ThisWorkbook" autoCompressPictures="0"/>
  <bookViews>
    <workbookView xWindow="975" yWindow="735" windowWidth="22830" windowHeight="9120" tabRatio="675" firstSheet="1" activeTab="3"/>
  </bookViews>
  <sheets>
    <sheet name="Revision" sheetId="1" state="hidden" r:id="rId1"/>
    <sheet name="Instructions" sheetId="2" r:id="rId2"/>
    <sheet name="Definitions" sheetId="3" r:id="rId3"/>
    <sheet name="Declaration" sheetId="4" r:id="rId4"/>
    <sheet name="Smelter List" sheetId="5" r:id="rId5"/>
    <sheet name="Standard Smelter Names" sheetId="12" r:id="rId6"/>
    <sheet name="Checker" sheetId="10" r:id="rId7"/>
    <sheet name="Product List" sheetId="11" r:id="rId8"/>
  </sheets>
  <definedNames>
    <definedName name="_xlnm._FilterDatabase" localSheetId="5" hidden="1">'Standard Smelter Names'!$A$2:$O$164</definedName>
    <definedName name="Gold">'Smelter List'!$G$1022:$G$1192</definedName>
    <definedName name="Metal">'Smelter List'!$F$1022:$F$1025</definedName>
    <definedName name="Tantalum">'Smelter List'!$G$1273:$G$1308</definedName>
    <definedName name="Tin">'Smelter List'!$G$1193:$G$1272</definedName>
    <definedName name="Tungsten">'Smelter List'!$G$1309:$G$1379</definedName>
    <definedName name="Z_81CF54B1_70AB_4A68_BB72_21925B5D4874_.wvu.Cols" localSheetId="3" hidden="1">Declaration!$M:$U</definedName>
    <definedName name="Z_81CF54B1_70AB_4A68_BB72_21925B5D4874_.wvu.Cols" localSheetId="2" hidden="1">Definitions!$L:$W</definedName>
    <definedName name="Z_81CF54B1_70AB_4A68_BB72_21925B5D4874_.wvu.Cols" localSheetId="1" hidden="1">Instructions!$I:$L</definedName>
    <definedName name="Z_81CF54B1_70AB_4A68_BB72_21925B5D4874_.wvu.Cols" localSheetId="4" hidden="1">'Smelter List'!$Q:$T</definedName>
  </definedNames>
  <calcPr calcId="114210" fullCalcOnLoad="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A43" i="2"/>
  <c r="A45"/>
  <c r="D6" i="5"/>
  <c r="A6"/>
  <c r="E6"/>
  <c r="D7"/>
  <c r="A7"/>
  <c r="E7"/>
  <c r="D8"/>
  <c r="A8"/>
  <c r="E8"/>
  <c r="A9"/>
  <c r="D10"/>
  <c r="A10"/>
  <c r="E10"/>
  <c r="A11"/>
  <c r="D12"/>
  <c r="A12"/>
  <c r="E12"/>
  <c r="A13"/>
  <c r="D14"/>
  <c r="A14"/>
  <c r="E14"/>
  <c r="D15"/>
  <c r="A15"/>
  <c r="E15"/>
  <c r="D16"/>
  <c r="A16"/>
  <c r="E16"/>
  <c r="D17"/>
  <c r="A17"/>
  <c r="E17"/>
  <c r="A18"/>
  <c r="D19"/>
  <c r="A19"/>
  <c r="E19"/>
  <c r="D20"/>
  <c r="A20"/>
  <c r="E20"/>
  <c r="D21"/>
  <c r="A21"/>
  <c r="E21"/>
  <c r="A22"/>
  <c r="A23"/>
  <c r="D24"/>
  <c r="A24"/>
  <c r="E24"/>
  <c r="D25"/>
  <c r="A25"/>
  <c r="E25"/>
  <c r="D26"/>
  <c r="A26"/>
  <c r="E26"/>
  <c r="D27"/>
  <c r="A27"/>
  <c r="E27"/>
  <c r="D28"/>
  <c r="A28"/>
  <c r="E28"/>
  <c r="D29"/>
  <c r="A29"/>
  <c r="E29"/>
  <c r="D30"/>
  <c r="A30"/>
  <c r="E30"/>
  <c r="D31"/>
  <c r="A31"/>
  <c r="E31"/>
  <c r="D32"/>
  <c r="A32"/>
  <c r="E32"/>
  <c r="D33"/>
  <c r="A33"/>
  <c r="E33"/>
  <c r="D34"/>
  <c r="A34"/>
  <c r="E34"/>
  <c r="D35"/>
  <c r="A35"/>
  <c r="E35"/>
  <c r="D36"/>
  <c r="A36"/>
  <c r="E36"/>
  <c r="D37"/>
  <c r="A37"/>
  <c r="E37"/>
  <c r="D38"/>
  <c r="A38"/>
  <c r="E38"/>
  <c r="D39"/>
  <c r="A39"/>
  <c r="E39"/>
  <c r="D40"/>
  <c r="A40"/>
  <c r="E40"/>
  <c r="A41"/>
  <c r="D42"/>
  <c r="A42"/>
  <c r="E42"/>
  <c r="D43"/>
  <c r="A43"/>
  <c r="E43"/>
  <c r="D44"/>
  <c r="A44"/>
  <c r="E44"/>
  <c r="D45"/>
  <c r="A45"/>
  <c r="E45"/>
  <c r="D46"/>
  <c r="A46"/>
  <c r="E46"/>
  <c r="D47"/>
  <c r="A47"/>
  <c r="E47"/>
  <c r="D48"/>
  <c r="A48"/>
  <c r="E48"/>
  <c r="D49"/>
  <c r="A49"/>
  <c r="E49"/>
  <c r="D50"/>
  <c r="A50"/>
  <c r="E50"/>
  <c r="D51"/>
  <c r="A51"/>
  <c r="E51"/>
  <c r="D52"/>
  <c r="A52"/>
  <c r="E52"/>
  <c r="D53"/>
  <c r="A53"/>
  <c r="E53"/>
  <c r="D54"/>
  <c r="A54"/>
  <c r="E54"/>
  <c r="D55"/>
  <c r="A55"/>
  <c r="E55"/>
  <c r="A56"/>
  <c r="A57"/>
  <c r="D58"/>
  <c r="A58"/>
  <c r="E58"/>
  <c r="D59"/>
  <c r="A59"/>
  <c r="E59"/>
  <c r="D60"/>
  <c r="A60"/>
  <c r="E60"/>
  <c r="D61"/>
  <c r="A61"/>
  <c r="E61"/>
  <c r="D62"/>
  <c r="A62"/>
  <c r="E62"/>
  <c r="D63"/>
  <c r="A63"/>
  <c r="E63"/>
  <c r="D64"/>
  <c r="A64"/>
  <c r="E64"/>
  <c r="D65"/>
  <c r="A65"/>
  <c r="E65"/>
  <c r="D66"/>
  <c r="A66"/>
  <c r="E66"/>
  <c r="A67"/>
  <c r="D68"/>
  <c r="A68"/>
  <c r="E68"/>
  <c r="D69"/>
  <c r="A69"/>
  <c r="E69"/>
  <c r="A70"/>
  <c r="D71"/>
  <c r="A71"/>
  <c r="E71"/>
  <c r="D72"/>
  <c r="A72"/>
  <c r="E72"/>
  <c r="D73"/>
  <c r="A73"/>
  <c r="E73"/>
  <c r="A74"/>
  <c r="A75"/>
  <c r="A76"/>
  <c r="A77"/>
  <c r="D78"/>
  <c r="A78"/>
  <c r="E78"/>
  <c r="A79"/>
  <c r="A80"/>
  <c r="A81"/>
  <c r="A82"/>
  <c r="D83"/>
  <c r="A83"/>
  <c r="E83"/>
  <c r="D84"/>
  <c r="A84"/>
  <c r="E84"/>
  <c r="A85"/>
  <c r="D86"/>
  <c r="A86"/>
  <c r="E86"/>
  <c r="D87"/>
  <c r="A87"/>
  <c r="E87"/>
  <c r="D88"/>
  <c r="A88"/>
  <c r="E88"/>
  <c r="D89"/>
  <c r="A89"/>
  <c r="E89"/>
  <c r="A90"/>
  <c r="A91"/>
  <c r="D92"/>
  <c r="A92"/>
  <c r="E92"/>
  <c r="A93"/>
  <c r="A94"/>
  <c r="D95"/>
  <c r="A95"/>
  <c r="E95"/>
  <c r="D96"/>
  <c r="A96"/>
  <c r="E96"/>
  <c r="D97"/>
  <c r="A97"/>
  <c r="E97"/>
  <c r="D98"/>
  <c r="A98"/>
  <c r="E98"/>
  <c r="D99"/>
  <c r="A99"/>
  <c r="E99"/>
  <c r="D100"/>
  <c r="A100"/>
  <c r="E100"/>
  <c r="D101"/>
  <c r="A101"/>
  <c r="E101"/>
  <c r="D102"/>
  <c r="A102"/>
  <c r="E102"/>
  <c r="D103"/>
  <c r="A103"/>
  <c r="E103"/>
  <c r="D104"/>
  <c r="A104"/>
  <c r="E104"/>
  <c r="D105"/>
  <c r="A105"/>
  <c r="E105"/>
  <c r="D106"/>
  <c r="A106"/>
  <c r="E106"/>
  <c r="A107"/>
  <c r="D108"/>
  <c r="A108"/>
  <c r="E108"/>
  <c r="D109"/>
  <c r="A109"/>
  <c r="E109"/>
  <c r="D110"/>
  <c r="A110"/>
  <c r="E110"/>
  <c r="D111"/>
  <c r="A111"/>
  <c r="E111"/>
  <c r="D112"/>
  <c r="A112"/>
  <c r="E112"/>
  <c r="D113"/>
  <c r="A113"/>
  <c r="E113"/>
  <c r="D114"/>
  <c r="A114"/>
  <c r="E114"/>
  <c r="D115"/>
  <c r="A115"/>
  <c r="E115"/>
  <c r="D116"/>
  <c r="A116"/>
  <c r="E116"/>
  <c r="D117"/>
  <c r="A117"/>
  <c r="E117"/>
  <c r="D118"/>
  <c r="A118"/>
  <c r="E118"/>
  <c r="D119"/>
  <c r="A119"/>
  <c r="E119"/>
  <c r="A120"/>
  <c r="A121"/>
  <c r="A122"/>
  <c r="A123"/>
  <c r="A124"/>
  <c r="A125"/>
  <c r="A126"/>
  <c r="A127"/>
  <c r="A128"/>
  <c r="D129"/>
  <c r="A129"/>
  <c r="E129"/>
  <c r="D130"/>
  <c r="A130"/>
  <c r="E130"/>
  <c r="D131"/>
  <c r="A131"/>
  <c r="E131"/>
  <c r="D132"/>
  <c r="A132"/>
  <c r="E132"/>
  <c r="D133"/>
  <c r="A133"/>
  <c r="E133"/>
  <c r="D134"/>
  <c r="A134"/>
  <c r="E134"/>
  <c r="D135"/>
  <c r="A135"/>
  <c r="E135"/>
  <c r="D136"/>
  <c r="A136"/>
  <c r="E136"/>
  <c r="D137"/>
  <c r="A137"/>
  <c r="E137"/>
  <c r="A138"/>
  <c r="A139"/>
  <c r="A140"/>
  <c r="A141"/>
  <c r="A142"/>
  <c r="A143"/>
  <c r="A144"/>
  <c r="A145"/>
  <c r="A146"/>
  <c r="A147"/>
  <c r="A148"/>
  <c r="A149"/>
  <c r="A150"/>
  <c r="A151"/>
  <c r="D152"/>
  <c r="A152"/>
  <c r="E152"/>
  <c r="D153"/>
  <c r="A153"/>
  <c r="E153"/>
  <c r="D154"/>
  <c r="A154"/>
  <c r="E154"/>
  <c r="D155"/>
  <c r="A155"/>
  <c r="E155"/>
  <c r="D156"/>
  <c r="A156"/>
  <c r="E156"/>
  <c r="D157"/>
  <c r="A157"/>
  <c r="E157"/>
  <c r="D158"/>
  <c r="A158"/>
  <c r="E158"/>
  <c r="D159"/>
  <c r="A159"/>
  <c r="E159"/>
  <c r="D160"/>
  <c r="A160"/>
  <c r="E160"/>
  <c r="D161"/>
  <c r="A161"/>
  <c r="E161"/>
  <c r="D162"/>
  <c r="A162"/>
  <c r="E162"/>
  <c r="D163"/>
  <c r="A163"/>
  <c r="E163"/>
  <c r="D164"/>
  <c r="A164"/>
  <c r="E164"/>
  <c r="D165"/>
  <c r="A165"/>
  <c r="E165"/>
  <c r="D166"/>
  <c r="A166"/>
  <c r="E166"/>
  <c r="D167"/>
  <c r="A167"/>
  <c r="E167"/>
  <c r="D168"/>
  <c r="A168"/>
  <c r="E168"/>
  <c r="D169"/>
  <c r="A169"/>
  <c r="E169"/>
  <c r="D170"/>
  <c r="A170"/>
  <c r="E170"/>
  <c r="D171"/>
  <c r="A171"/>
  <c r="E171"/>
  <c r="A172"/>
  <c r="A173"/>
  <c r="A174"/>
  <c r="D175"/>
  <c r="A175"/>
  <c r="E175"/>
  <c r="A176"/>
  <c r="D177"/>
  <c r="A177"/>
  <c r="E177"/>
  <c r="D178"/>
  <c r="A178"/>
  <c r="E178"/>
  <c r="D179"/>
  <c r="A179"/>
  <c r="E179"/>
  <c r="D180"/>
  <c r="A180"/>
  <c r="E180"/>
  <c r="D181"/>
  <c r="A181"/>
  <c r="E181"/>
  <c r="D182"/>
  <c r="A182"/>
  <c r="E182"/>
  <c r="D183"/>
  <c r="A183"/>
  <c r="E183"/>
  <c r="D184"/>
  <c r="A184"/>
  <c r="E184"/>
  <c r="D185"/>
  <c r="A185"/>
  <c r="E185"/>
  <c r="D186"/>
  <c r="A186"/>
  <c r="E186"/>
  <c r="D187"/>
  <c r="A187"/>
  <c r="E187"/>
  <c r="D188"/>
  <c r="A188"/>
  <c r="E188"/>
  <c r="D189"/>
  <c r="A189"/>
  <c r="E189"/>
  <c r="D190"/>
  <c r="A190"/>
  <c r="E190"/>
  <c r="D191"/>
  <c r="A191"/>
  <c r="E191"/>
  <c r="D192"/>
  <c r="A192"/>
  <c r="E192"/>
  <c r="D193"/>
  <c r="A193"/>
  <c r="E193"/>
  <c r="D194"/>
  <c r="A194"/>
  <c r="E194"/>
  <c r="D195"/>
  <c r="A195"/>
  <c r="E195"/>
  <c r="D196"/>
  <c r="A196"/>
  <c r="E196"/>
  <c r="D197"/>
  <c r="A197"/>
  <c r="E197"/>
  <c r="D198"/>
  <c r="A198"/>
  <c r="E198"/>
  <c r="D199"/>
  <c r="A199"/>
  <c r="E199"/>
  <c r="D200"/>
  <c r="A200"/>
  <c r="E200"/>
  <c r="D201"/>
  <c r="A201"/>
  <c r="E201"/>
  <c r="D202"/>
  <c r="A202"/>
  <c r="E202"/>
  <c r="D203"/>
  <c r="A203"/>
  <c r="E203"/>
  <c r="D204"/>
  <c r="A204"/>
  <c r="E204"/>
  <c r="D205"/>
  <c r="A205"/>
  <c r="E205"/>
  <c r="D206"/>
  <c r="A206"/>
  <c r="E206"/>
  <c r="D207"/>
  <c r="A207"/>
  <c r="E207"/>
  <c r="D208"/>
  <c r="A208"/>
  <c r="E208"/>
  <c r="D209"/>
  <c r="A209"/>
  <c r="E209"/>
  <c r="D210"/>
  <c r="A210"/>
  <c r="E210"/>
  <c r="D211"/>
  <c r="A211"/>
  <c r="E211"/>
  <c r="D212"/>
  <c r="A212"/>
  <c r="E212"/>
  <c r="D213"/>
  <c r="A213"/>
  <c r="E213"/>
  <c r="D214"/>
  <c r="A214"/>
  <c r="E214"/>
  <c r="D215"/>
  <c r="A215"/>
  <c r="E215"/>
  <c r="D216"/>
  <c r="A216"/>
  <c r="E216"/>
  <c r="D217"/>
  <c r="A217"/>
  <c r="E217"/>
  <c r="D218"/>
  <c r="A218"/>
  <c r="E218"/>
  <c r="D219"/>
  <c r="A219"/>
  <c r="E219"/>
  <c r="D220"/>
  <c r="A220"/>
  <c r="E220"/>
  <c r="D221"/>
  <c r="A221"/>
  <c r="E221"/>
  <c r="D222"/>
  <c r="A222"/>
  <c r="E222"/>
  <c r="D223"/>
  <c r="A223"/>
  <c r="E223"/>
  <c r="D224"/>
  <c r="A224"/>
  <c r="E224"/>
  <c r="D225"/>
  <c r="A225"/>
  <c r="E225"/>
  <c r="D226"/>
  <c r="A226"/>
  <c r="E226"/>
  <c r="D227"/>
  <c r="A227"/>
  <c r="E227"/>
  <c r="D228"/>
  <c r="A228"/>
  <c r="E228"/>
  <c r="D229"/>
  <c r="A229"/>
  <c r="E229"/>
  <c r="D230"/>
  <c r="A230"/>
  <c r="E230"/>
  <c r="D231"/>
  <c r="A231"/>
  <c r="E231"/>
  <c r="D232"/>
  <c r="A232"/>
  <c r="E232"/>
  <c r="D233"/>
  <c r="A233"/>
  <c r="E233"/>
  <c r="D234"/>
  <c r="A234"/>
  <c r="E234"/>
  <c r="D235"/>
  <c r="A235"/>
  <c r="E235"/>
  <c r="D236"/>
  <c r="A236"/>
  <c r="E236"/>
  <c r="D237"/>
  <c r="A237"/>
  <c r="E237"/>
  <c r="D238"/>
  <c r="A238"/>
  <c r="E238"/>
  <c r="D239"/>
  <c r="A239"/>
  <c r="E239"/>
  <c r="D240"/>
  <c r="A240"/>
  <c r="E240"/>
  <c r="D241"/>
  <c r="A241"/>
  <c r="E241"/>
  <c r="D242"/>
  <c r="A242"/>
  <c r="E242"/>
  <c r="D243"/>
  <c r="A243"/>
  <c r="E243"/>
  <c r="D244"/>
  <c r="A244"/>
  <c r="E244"/>
  <c r="D245"/>
  <c r="A245"/>
  <c r="E245"/>
  <c r="D246"/>
  <c r="A246"/>
  <c r="E246"/>
  <c r="D247"/>
  <c r="A247"/>
  <c r="E247"/>
  <c r="D248"/>
  <c r="A248"/>
  <c r="E248"/>
  <c r="D249"/>
  <c r="A249"/>
  <c r="E249"/>
  <c r="D250"/>
  <c r="A250"/>
  <c r="E250"/>
  <c r="D251"/>
  <c r="A251"/>
  <c r="E251"/>
  <c r="D252"/>
  <c r="A252"/>
  <c r="E252"/>
  <c r="D253"/>
  <c r="A253"/>
  <c r="E253"/>
  <c r="D254"/>
  <c r="A254"/>
  <c r="E254"/>
  <c r="D255"/>
  <c r="A255"/>
  <c r="E255"/>
  <c r="D256"/>
  <c r="A256"/>
  <c r="E256"/>
  <c r="D257"/>
  <c r="A257"/>
  <c r="E257"/>
  <c r="D258"/>
  <c r="A258"/>
  <c r="E258"/>
  <c r="D259"/>
  <c r="A259"/>
  <c r="E259"/>
  <c r="D260"/>
  <c r="A260"/>
  <c r="E260"/>
  <c r="D261"/>
  <c r="A261"/>
  <c r="E261"/>
  <c r="D262"/>
  <c r="A262"/>
  <c r="E262"/>
  <c r="D263"/>
  <c r="A263"/>
  <c r="E263"/>
  <c r="D264"/>
  <c r="A264"/>
  <c r="E264"/>
  <c r="D265"/>
  <c r="A265"/>
  <c r="E265"/>
  <c r="D266"/>
  <c r="A266"/>
  <c r="E266"/>
  <c r="D267"/>
  <c r="A267"/>
  <c r="E267"/>
  <c r="D268"/>
  <c r="A268"/>
  <c r="E268"/>
  <c r="D269"/>
  <c r="A269"/>
  <c r="E269"/>
  <c r="D270"/>
  <c r="A270"/>
  <c r="E270"/>
  <c r="D271"/>
  <c r="A271"/>
  <c r="E271"/>
  <c r="D272"/>
  <c r="A272"/>
  <c r="E272"/>
  <c r="D273"/>
  <c r="A273"/>
  <c r="E273"/>
  <c r="D274"/>
  <c r="A274"/>
  <c r="E274"/>
  <c r="D275"/>
  <c r="A275"/>
  <c r="E275"/>
  <c r="D276"/>
  <c r="A276"/>
  <c r="E276"/>
  <c r="D277"/>
  <c r="A277"/>
  <c r="E277"/>
  <c r="D278"/>
  <c r="A278"/>
  <c r="E278"/>
  <c r="D279"/>
  <c r="A279"/>
  <c r="E279"/>
  <c r="D280"/>
  <c r="A280"/>
  <c r="E280"/>
  <c r="D281"/>
  <c r="A281"/>
  <c r="E281"/>
  <c r="D282"/>
  <c r="A282"/>
  <c r="E282"/>
  <c r="D283"/>
  <c r="A283"/>
  <c r="E283"/>
  <c r="D284"/>
  <c r="A284"/>
  <c r="E284"/>
  <c r="D285"/>
  <c r="A285"/>
  <c r="E285"/>
  <c r="D286"/>
  <c r="A286"/>
  <c r="E286"/>
  <c r="D287"/>
  <c r="A287"/>
  <c r="E287"/>
  <c r="D288"/>
  <c r="A288"/>
  <c r="E288"/>
  <c r="D289"/>
  <c r="A289"/>
  <c r="E289"/>
  <c r="D290"/>
  <c r="A290"/>
  <c r="E290"/>
  <c r="D291"/>
  <c r="A291"/>
  <c r="E291"/>
  <c r="D292"/>
  <c r="A292"/>
  <c r="E292"/>
  <c r="D293"/>
  <c r="A293"/>
  <c r="E293"/>
  <c r="D294"/>
  <c r="A294"/>
  <c r="E294"/>
  <c r="D295"/>
  <c r="A295"/>
  <c r="E295"/>
  <c r="D296"/>
  <c r="A296"/>
  <c r="E296"/>
  <c r="D297"/>
  <c r="A297"/>
  <c r="E297"/>
  <c r="D298"/>
  <c r="A298"/>
  <c r="E298"/>
  <c r="D299"/>
  <c r="A299"/>
  <c r="E299"/>
  <c r="D300"/>
  <c r="A300"/>
  <c r="E300"/>
  <c r="D301"/>
  <c r="A301"/>
  <c r="E301"/>
  <c r="D302"/>
  <c r="A302"/>
  <c r="E302"/>
  <c r="D303"/>
  <c r="A303"/>
  <c r="E303"/>
  <c r="D304"/>
  <c r="A304"/>
  <c r="E304"/>
  <c r="D305"/>
  <c r="A305"/>
  <c r="E305"/>
  <c r="D306"/>
  <c r="A306"/>
  <c r="E306"/>
  <c r="D307"/>
  <c r="A307"/>
  <c r="E307"/>
  <c r="D308"/>
  <c r="A308"/>
  <c r="E308"/>
  <c r="D309"/>
  <c r="A309"/>
  <c r="E309"/>
  <c r="D310"/>
  <c r="A310"/>
  <c r="E310"/>
  <c r="D311"/>
  <c r="A311"/>
  <c r="E311"/>
  <c r="D312"/>
  <c r="A312"/>
  <c r="E312"/>
  <c r="D313"/>
  <c r="A313"/>
  <c r="E313"/>
  <c r="D314"/>
  <c r="A314"/>
  <c r="E314"/>
  <c r="D315"/>
  <c r="A315"/>
  <c r="E315"/>
  <c r="D316"/>
  <c r="A316"/>
  <c r="E316"/>
  <c r="D317"/>
  <c r="A317"/>
  <c r="E317"/>
  <c r="D318"/>
  <c r="A318"/>
  <c r="E318"/>
  <c r="D319"/>
  <c r="A319"/>
  <c r="E319"/>
  <c r="D320"/>
  <c r="A320"/>
  <c r="E320"/>
  <c r="D321"/>
  <c r="A321"/>
  <c r="E321"/>
  <c r="D322"/>
  <c r="A322"/>
  <c r="E322"/>
  <c r="D323"/>
  <c r="A323"/>
  <c r="E323"/>
  <c r="D324"/>
  <c r="A324"/>
  <c r="E324"/>
  <c r="D325"/>
  <c r="A325"/>
  <c r="E325"/>
  <c r="D326"/>
  <c r="A326"/>
  <c r="E326"/>
  <c r="D327"/>
  <c r="A327"/>
  <c r="E327"/>
  <c r="D328"/>
  <c r="A328"/>
  <c r="E328"/>
  <c r="D329"/>
  <c r="A329"/>
  <c r="E329"/>
  <c r="D330"/>
  <c r="A330"/>
  <c r="E330"/>
  <c r="D331"/>
  <c r="A331"/>
  <c r="E331"/>
  <c r="D332"/>
  <c r="A332"/>
  <c r="E332"/>
  <c r="D333"/>
  <c r="A333"/>
  <c r="E333"/>
  <c r="D334"/>
  <c r="A334"/>
  <c r="E334"/>
  <c r="D335"/>
  <c r="A335"/>
  <c r="E335"/>
  <c r="D336"/>
  <c r="A336"/>
  <c r="E336"/>
  <c r="D337"/>
  <c r="A337"/>
  <c r="E337"/>
  <c r="D338"/>
  <c r="A338"/>
  <c r="E338"/>
  <c r="D339"/>
  <c r="A339"/>
  <c r="E339"/>
  <c r="D340"/>
  <c r="A340"/>
  <c r="E340"/>
  <c r="D341"/>
  <c r="A341"/>
  <c r="E341"/>
  <c r="D342"/>
  <c r="A342"/>
  <c r="E342"/>
  <c r="D343"/>
  <c r="A343"/>
  <c r="E343"/>
  <c r="D344"/>
  <c r="A344"/>
  <c r="E344"/>
  <c r="D345"/>
  <c r="A345"/>
  <c r="E345"/>
  <c r="D346"/>
  <c r="A346"/>
  <c r="E346"/>
  <c r="D347"/>
  <c r="A347"/>
  <c r="E347"/>
  <c r="D348"/>
  <c r="A348"/>
  <c r="E348"/>
  <c r="D349"/>
  <c r="A349"/>
  <c r="E349"/>
  <c r="D350"/>
  <c r="A350"/>
  <c r="E350"/>
  <c r="D351"/>
  <c r="A351"/>
  <c r="E351"/>
  <c r="D352"/>
  <c r="A352"/>
  <c r="E352"/>
  <c r="D353"/>
  <c r="A353"/>
  <c r="E353"/>
  <c r="D354"/>
  <c r="A354"/>
  <c r="E354"/>
  <c r="D355"/>
  <c r="A355"/>
  <c r="E355"/>
  <c r="D356"/>
  <c r="A356"/>
  <c r="E356"/>
  <c r="D357"/>
  <c r="A357"/>
  <c r="E357"/>
  <c r="D358"/>
  <c r="A358"/>
  <c r="E358"/>
  <c r="D359"/>
  <c r="A359"/>
  <c r="E359"/>
  <c r="D360"/>
  <c r="A360"/>
  <c r="E360"/>
  <c r="D361"/>
  <c r="A361"/>
  <c r="E361"/>
  <c r="D362"/>
  <c r="A362"/>
  <c r="E362"/>
  <c r="D363"/>
  <c r="A363"/>
  <c r="E363"/>
  <c r="D364"/>
  <c r="A364"/>
  <c r="E364"/>
  <c r="D365"/>
  <c r="A365"/>
  <c r="E365"/>
  <c r="D366"/>
  <c r="A366"/>
  <c r="E366"/>
  <c r="D367"/>
  <c r="A367"/>
  <c r="E367"/>
  <c r="D368"/>
  <c r="A368"/>
  <c r="E368"/>
  <c r="D369"/>
  <c r="A369"/>
  <c r="E369"/>
  <c r="D370"/>
  <c r="A370"/>
  <c r="E370"/>
  <c r="D371"/>
  <c r="A371"/>
  <c r="E371"/>
  <c r="D372"/>
  <c r="A372"/>
  <c r="E372"/>
  <c r="D373"/>
  <c r="A373"/>
  <c r="E373"/>
  <c r="D374"/>
  <c r="A374"/>
  <c r="E374"/>
  <c r="D375"/>
  <c r="A375"/>
  <c r="E375"/>
  <c r="D376"/>
  <c r="A376"/>
  <c r="E376"/>
  <c r="D377"/>
  <c r="A377"/>
  <c r="E377"/>
  <c r="D378"/>
  <c r="A378"/>
  <c r="E378"/>
  <c r="D379"/>
  <c r="A379"/>
  <c r="E379"/>
  <c r="D380"/>
  <c r="A380"/>
  <c r="E380"/>
  <c r="D381"/>
  <c r="A381"/>
  <c r="E381"/>
  <c r="D382"/>
  <c r="A382"/>
  <c r="E382"/>
  <c r="D383"/>
  <c r="A383"/>
  <c r="E383"/>
  <c r="D384"/>
  <c r="A384"/>
  <c r="E384"/>
  <c r="D385"/>
  <c r="A385"/>
  <c r="E385"/>
  <c r="D386"/>
  <c r="A386"/>
  <c r="E386"/>
  <c r="D387"/>
  <c r="A387"/>
  <c r="E387"/>
  <c r="D388"/>
  <c r="A388"/>
  <c r="E388"/>
  <c r="D389"/>
  <c r="A389"/>
  <c r="E389"/>
  <c r="D390"/>
  <c r="A390"/>
  <c r="E390"/>
  <c r="D391"/>
  <c r="A391"/>
  <c r="E391"/>
  <c r="D392"/>
  <c r="A392"/>
  <c r="E392"/>
  <c r="D393"/>
  <c r="A393"/>
  <c r="E393"/>
  <c r="D394"/>
  <c r="A394"/>
  <c r="E394"/>
  <c r="D395"/>
  <c r="A395"/>
  <c r="E395"/>
  <c r="D396"/>
  <c r="A396"/>
  <c r="E396"/>
  <c r="D397"/>
  <c r="A397"/>
  <c r="E397"/>
  <c r="D398"/>
  <c r="A398"/>
  <c r="E398"/>
  <c r="D399"/>
  <c r="A399"/>
  <c r="E399"/>
  <c r="D400"/>
  <c r="A400"/>
  <c r="E400"/>
  <c r="D401"/>
  <c r="A401"/>
  <c r="E401"/>
  <c r="D402"/>
  <c r="A402"/>
  <c r="E402"/>
  <c r="D403"/>
  <c r="A403"/>
  <c r="E403"/>
  <c r="D404"/>
  <c r="A404"/>
  <c r="E404"/>
  <c r="D405"/>
  <c r="A405"/>
  <c r="E405"/>
  <c r="D406"/>
  <c r="A406"/>
  <c r="E406"/>
  <c r="D407"/>
  <c r="A407"/>
  <c r="E407"/>
  <c r="D408"/>
  <c r="A408"/>
  <c r="E408"/>
  <c r="D409"/>
  <c r="A409"/>
  <c r="E409"/>
  <c r="D410"/>
  <c r="A410"/>
  <c r="E410"/>
  <c r="D411"/>
  <c r="A411"/>
  <c r="E411"/>
  <c r="D412"/>
  <c r="A412"/>
  <c r="E412"/>
  <c r="D413"/>
  <c r="A413"/>
  <c r="E413"/>
  <c r="D414"/>
  <c r="A414"/>
  <c r="E414"/>
  <c r="D415"/>
  <c r="A415"/>
  <c r="E415"/>
  <c r="D416"/>
  <c r="A416"/>
  <c r="E416"/>
  <c r="D417"/>
  <c r="A417"/>
  <c r="E417"/>
  <c r="D418"/>
  <c r="A418"/>
  <c r="E418"/>
  <c r="D419"/>
  <c r="A419"/>
  <c r="E419"/>
  <c r="D420"/>
  <c r="A420"/>
  <c r="E420"/>
  <c r="D421"/>
  <c r="A421"/>
  <c r="E421"/>
  <c r="D422"/>
  <c r="A422"/>
  <c r="E422"/>
  <c r="D423"/>
  <c r="A423"/>
  <c r="E423"/>
  <c r="D424"/>
  <c r="A424"/>
  <c r="E424"/>
  <c r="D425"/>
  <c r="A425"/>
  <c r="E425"/>
  <c r="D426"/>
  <c r="A426"/>
  <c r="E426"/>
  <c r="D427"/>
  <c r="A427"/>
  <c r="E427"/>
  <c r="D428"/>
  <c r="A428"/>
  <c r="E428"/>
  <c r="D429"/>
  <c r="A429"/>
  <c r="E429"/>
  <c r="D430"/>
  <c r="A430"/>
  <c r="E430"/>
  <c r="D431"/>
  <c r="A431"/>
  <c r="E431"/>
  <c r="D432"/>
  <c r="A432"/>
  <c r="E432"/>
  <c r="D433"/>
  <c r="A433"/>
  <c r="E433"/>
  <c r="D434"/>
  <c r="A434"/>
  <c r="E434"/>
  <c r="D435"/>
  <c r="A435"/>
  <c r="E435"/>
  <c r="D436"/>
  <c r="A436"/>
  <c r="E436"/>
  <c r="D437"/>
  <c r="A437"/>
  <c r="E437"/>
  <c r="D438"/>
  <c r="A438"/>
  <c r="E438"/>
  <c r="D439"/>
  <c r="A439"/>
  <c r="E439"/>
  <c r="D440"/>
  <c r="A440"/>
  <c r="E440"/>
  <c r="D441"/>
  <c r="A441"/>
  <c r="E441"/>
  <c r="D442"/>
  <c r="A442"/>
  <c r="E442"/>
  <c r="D443"/>
  <c r="A443"/>
  <c r="E443"/>
  <c r="D444"/>
  <c r="A444"/>
  <c r="E444"/>
  <c r="D445"/>
  <c r="A445"/>
  <c r="E445"/>
  <c r="D446"/>
  <c r="A446"/>
  <c r="E446"/>
  <c r="D447"/>
  <c r="A447"/>
  <c r="E447"/>
  <c r="D448"/>
  <c r="A448"/>
  <c r="E448"/>
  <c r="D449"/>
  <c r="A449"/>
  <c r="E449"/>
  <c r="D450"/>
  <c r="A450"/>
  <c r="E450"/>
  <c r="D451"/>
  <c r="A451"/>
  <c r="E451"/>
  <c r="D452"/>
  <c r="A452"/>
  <c r="E452"/>
  <c r="D453"/>
  <c r="A453"/>
  <c r="E453"/>
  <c r="D454"/>
  <c r="A454"/>
  <c r="E454"/>
  <c r="D455"/>
  <c r="A455"/>
  <c r="E455"/>
  <c r="D456"/>
  <c r="A456"/>
  <c r="E456"/>
  <c r="D457"/>
  <c r="A457"/>
  <c r="E457"/>
  <c r="D458"/>
  <c r="A458"/>
  <c r="E458"/>
  <c r="D459"/>
  <c r="A459"/>
  <c r="E459"/>
  <c r="D460"/>
  <c r="A460"/>
  <c r="E460"/>
  <c r="D461"/>
  <c r="A461"/>
  <c r="E461"/>
  <c r="D462"/>
  <c r="A462"/>
  <c r="E462"/>
  <c r="D463"/>
  <c r="A463"/>
  <c r="E463"/>
  <c r="D464"/>
  <c r="A464"/>
  <c r="E464"/>
  <c r="D465"/>
  <c r="A465"/>
  <c r="E465"/>
  <c r="D466"/>
  <c r="A466"/>
  <c r="E466"/>
  <c r="D467"/>
  <c r="A467"/>
  <c r="E467"/>
  <c r="D468"/>
  <c r="A468"/>
  <c r="E468"/>
  <c r="D469"/>
  <c r="A469"/>
  <c r="E469"/>
  <c r="D470"/>
  <c r="A470"/>
  <c r="E470"/>
  <c r="D471"/>
  <c r="A471"/>
  <c r="E471"/>
  <c r="D472"/>
  <c r="A472"/>
  <c r="E472"/>
  <c r="D473"/>
  <c r="A473"/>
  <c r="E473"/>
  <c r="D474"/>
  <c r="A474"/>
  <c r="E474"/>
  <c r="D475"/>
  <c r="A475"/>
  <c r="E475"/>
  <c r="D476"/>
  <c r="A476"/>
  <c r="E476"/>
  <c r="D477"/>
  <c r="A477"/>
  <c r="E477"/>
  <c r="D478"/>
  <c r="A478"/>
  <c r="E478"/>
  <c r="D479"/>
  <c r="A479"/>
  <c r="E479"/>
  <c r="D480"/>
  <c r="A480"/>
  <c r="E480"/>
  <c r="D481"/>
  <c r="A481"/>
  <c r="E481"/>
  <c r="D482"/>
  <c r="A482"/>
  <c r="E482"/>
  <c r="D483"/>
  <c r="A483"/>
  <c r="E483"/>
  <c r="D484"/>
  <c r="A484"/>
  <c r="E484"/>
  <c r="D485"/>
  <c r="A485"/>
  <c r="E485"/>
  <c r="D486"/>
  <c r="A486"/>
  <c r="E486"/>
  <c r="D487"/>
  <c r="A487"/>
  <c r="E487"/>
  <c r="D488"/>
  <c r="A488"/>
  <c r="E488"/>
  <c r="D489"/>
  <c r="A489"/>
  <c r="E489"/>
  <c r="D490"/>
  <c r="A490"/>
  <c r="E490"/>
  <c r="D491"/>
  <c r="A491"/>
  <c r="E491"/>
  <c r="D492"/>
  <c r="A492"/>
  <c r="E492"/>
  <c r="D493"/>
  <c r="A493"/>
  <c r="E493"/>
  <c r="D494"/>
  <c r="A494"/>
  <c r="E494"/>
  <c r="D495"/>
  <c r="A495"/>
  <c r="E495"/>
  <c r="D496"/>
  <c r="A496"/>
  <c r="E496"/>
  <c r="D497"/>
  <c r="A497"/>
  <c r="E497"/>
  <c r="D498"/>
  <c r="A498"/>
  <c r="E498"/>
  <c r="D499"/>
  <c r="A499"/>
  <c r="E499"/>
  <c r="D500"/>
  <c r="A500"/>
  <c r="E500"/>
  <c r="D501"/>
  <c r="A501"/>
  <c r="E501"/>
  <c r="D502"/>
  <c r="A502"/>
  <c r="E502"/>
  <c r="D503"/>
  <c r="A503"/>
  <c r="E503"/>
  <c r="D504"/>
  <c r="A504"/>
  <c r="E504"/>
  <c r="D505"/>
  <c r="A505"/>
  <c r="E505"/>
  <c r="D506"/>
  <c r="A506"/>
  <c r="E506"/>
  <c r="D507"/>
  <c r="A507"/>
  <c r="E507"/>
  <c r="D508"/>
  <c r="A508"/>
  <c r="E508"/>
  <c r="D509"/>
  <c r="A509"/>
  <c r="E509"/>
  <c r="D510"/>
  <c r="A510"/>
  <c r="E510"/>
  <c r="D511"/>
  <c r="A511"/>
  <c r="E511"/>
  <c r="D512"/>
  <c r="A512"/>
  <c r="E512"/>
  <c r="D513"/>
  <c r="A513"/>
  <c r="E513"/>
  <c r="D514"/>
  <c r="A514"/>
  <c r="E514"/>
  <c r="D515"/>
  <c r="A515"/>
  <c r="E515"/>
  <c r="D516"/>
  <c r="A516"/>
  <c r="E516"/>
  <c r="D517"/>
  <c r="A517"/>
  <c r="E517"/>
  <c r="D518"/>
  <c r="A518"/>
  <c r="E518"/>
  <c r="D519"/>
  <c r="A519"/>
  <c r="E519"/>
  <c r="D520"/>
  <c r="A520"/>
  <c r="E520"/>
  <c r="D521"/>
  <c r="A521"/>
  <c r="E521"/>
  <c r="D522"/>
  <c r="A522"/>
  <c r="E522"/>
  <c r="D523"/>
  <c r="A523"/>
  <c r="E523"/>
  <c r="D524"/>
  <c r="A524"/>
  <c r="E524"/>
  <c r="D525"/>
  <c r="A525"/>
  <c r="E525"/>
  <c r="D526"/>
  <c r="A526"/>
  <c r="E526"/>
  <c r="D527"/>
  <c r="A527"/>
  <c r="E527"/>
  <c r="D528"/>
  <c r="A528"/>
  <c r="E528"/>
  <c r="D529"/>
  <c r="A529"/>
  <c r="E529"/>
  <c r="D530"/>
  <c r="A530"/>
  <c r="E530"/>
  <c r="D531"/>
  <c r="A531"/>
  <c r="E531"/>
  <c r="D532"/>
  <c r="A532"/>
  <c r="E532"/>
  <c r="D533"/>
  <c r="A533"/>
  <c r="E533"/>
  <c r="D534"/>
  <c r="A534"/>
  <c r="E534"/>
  <c r="D535"/>
  <c r="A535"/>
  <c r="E535"/>
  <c r="D536"/>
  <c r="A536"/>
  <c r="E536"/>
  <c r="D537"/>
  <c r="A537"/>
  <c r="E537"/>
  <c r="D538"/>
  <c r="A538"/>
  <c r="E538"/>
  <c r="D539"/>
  <c r="A539"/>
  <c r="E539"/>
  <c r="D540"/>
  <c r="A540"/>
  <c r="E540"/>
  <c r="D541"/>
  <c r="A541"/>
  <c r="E541"/>
  <c r="D542"/>
  <c r="A542"/>
  <c r="E542"/>
  <c r="D543"/>
  <c r="A543"/>
  <c r="E543"/>
  <c r="D544"/>
  <c r="A544"/>
  <c r="E544"/>
  <c r="D545"/>
  <c r="A545"/>
  <c r="E545"/>
  <c r="D546"/>
  <c r="A546"/>
  <c r="E546"/>
  <c r="D547"/>
  <c r="A547"/>
  <c r="E547"/>
  <c r="D548"/>
  <c r="A548"/>
  <c r="E548"/>
  <c r="D549"/>
  <c r="A549"/>
  <c r="E549"/>
  <c r="D550"/>
  <c r="A550"/>
  <c r="E550"/>
  <c r="D551"/>
  <c r="A551"/>
  <c r="E551"/>
  <c r="D552"/>
  <c r="A552"/>
  <c r="E552"/>
  <c r="D553"/>
  <c r="A553"/>
  <c r="E553"/>
  <c r="D554"/>
  <c r="A554"/>
  <c r="E554"/>
  <c r="D555"/>
  <c r="A555"/>
  <c r="E555"/>
  <c r="D556"/>
  <c r="A556"/>
  <c r="E556"/>
  <c r="D557"/>
  <c r="A557"/>
  <c r="E557"/>
  <c r="D558"/>
  <c r="A558"/>
  <c r="E558"/>
  <c r="D559"/>
  <c r="A559"/>
  <c r="E559"/>
  <c r="D560"/>
  <c r="A560"/>
  <c r="E560"/>
  <c r="D561"/>
  <c r="A561"/>
  <c r="E561"/>
  <c r="D562"/>
  <c r="A562"/>
  <c r="E562"/>
  <c r="D563"/>
  <c r="A563"/>
  <c r="E563"/>
  <c r="D564"/>
  <c r="A564"/>
  <c r="E564"/>
  <c r="D565"/>
  <c r="A565"/>
  <c r="E565"/>
  <c r="D566"/>
  <c r="A566"/>
  <c r="E566"/>
  <c r="D567"/>
  <c r="A567"/>
  <c r="E567"/>
  <c r="D568"/>
  <c r="A568"/>
  <c r="E568"/>
  <c r="D569"/>
  <c r="A569"/>
  <c r="E569"/>
  <c r="D570"/>
  <c r="A570"/>
  <c r="E570"/>
  <c r="D571"/>
  <c r="A571"/>
  <c r="E571"/>
  <c r="D572"/>
  <c r="A572"/>
  <c r="E572"/>
  <c r="D573"/>
  <c r="A573"/>
  <c r="E573"/>
  <c r="D574"/>
  <c r="A574"/>
  <c r="E574"/>
  <c r="D575"/>
  <c r="A575"/>
  <c r="E575"/>
  <c r="D576"/>
  <c r="A576"/>
  <c r="E576"/>
  <c r="D577"/>
  <c r="A577"/>
  <c r="E577"/>
  <c r="D578"/>
  <c r="A578"/>
  <c r="E578"/>
  <c r="D579"/>
  <c r="A579"/>
  <c r="E579"/>
  <c r="D580"/>
  <c r="A580"/>
  <c r="E580"/>
  <c r="D581"/>
  <c r="A581"/>
  <c r="E581"/>
  <c r="D582"/>
  <c r="A582"/>
  <c r="E582"/>
  <c r="D583"/>
  <c r="A583"/>
  <c r="E583"/>
  <c r="D584"/>
  <c r="A584"/>
  <c r="E584"/>
  <c r="D585"/>
  <c r="A585"/>
  <c r="E585"/>
  <c r="D586"/>
  <c r="A586"/>
  <c r="E586"/>
  <c r="D587"/>
  <c r="A587"/>
  <c r="E587"/>
  <c r="D588"/>
  <c r="A588"/>
  <c r="E588"/>
  <c r="D589"/>
  <c r="A589"/>
  <c r="E589"/>
  <c r="D590"/>
  <c r="A590"/>
  <c r="E590"/>
  <c r="D591"/>
  <c r="A591"/>
  <c r="E591"/>
  <c r="D592"/>
  <c r="A592"/>
  <c r="E592"/>
  <c r="D593"/>
  <c r="A593"/>
  <c r="E593"/>
  <c r="D594"/>
  <c r="A594"/>
  <c r="E594"/>
  <c r="D595"/>
  <c r="A595"/>
  <c r="E595"/>
  <c r="D596"/>
  <c r="A596"/>
  <c r="E596"/>
  <c r="D597"/>
  <c r="A597"/>
  <c r="E597"/>
  <c r="D598"/>
  <c r="A598"/>
  <c r="E598"/>
  <c r="D599"/>
  <c r="A599"/>
  <c r="E599"/>
  <c r="D600"/>
  <c r="A600"/>
  <c r="E600"/>
  <c r="D601"/>
  <c r="A601"/>
  <c r="E601"/>
  <c r="D602"/>
  <c r="A602"/>
  <c r="E602"/>
  <c r="D603"/>
  <c r="A603"/>
  <c r="E603"/>
  <c r="D604"/>
  <c r="A604"/>
  <c r="E604"/>
  <c r="D605"/>
  <c r="A605"/>
  <c r="E605"/>
  <c r="D606"/>
  <c r="A606"/>
  <c r="E606"/>
  <c r="D607"/>
  <c r="A607"/>
  <c r="E607"/>
  <c r="D608"/>
  <c r="A608"/>
  <c r="E608"/>
  <c r="D609"/>
  <c r="A609"/>
  <c r="E609"/>
  <c r="D610"/>
  <c r="A610"/>
  <c r="E610"/>
  <c r="D611"/>
  <c r="A611"/>
  <c r="E611"/>
  <c r="D612"/>
  <c r="A612"/>
  <c r="E612"/>
  <c r="D613"/>
  <c r="A613"/>
  <c r="E613"/>
  <c r="D614"/>
  <c r="A614"/>
  <c r="E614"/>
  <c r="D615"/>
  <c r="A615"/>
  <c r="E615"/>
  <c r="D616"/>
  <c r="A616"/>
  <c r="E616"/>
  <c r="D617"/>
  <c r="A617"/>
  <c r="E617"/>
  <c r="D618"/>
  <c r="A618"/>
  <c r="E618"/>
  <c r="D619"/>
  <c r="A619"/>
  <c r="E619"/>
  <c r="D620"/>
  <c r="A620"/>
  <c r="E620"/>
  <c r="D621"/>
  <c r="A621"/>
  <c r="E621"/>
  <c r="D622"/>
  <c r="A622"/>
  <c r="E622"/>
  <c r="D623"/>
  <c r="A623"/>
  <c r="E623"/>
  <c r="D624"/>
  <c r="A624"/>
  <c r="E624"/>
  <c r="D625"/>
  <c r="A625"/>
  <c r="E625"/>
  <c r="D626"/>
  <c r="A626"/>
  <c r="E626"/>
  <c r="D627"/>
  <c r="A627"/>
  <c r="E627"/>
  <c r="D628"/>
  <c r="A628"/>
  <c r="E628"/>
  <c r="D629"/>
  <c r="A629"/>
  <c r="E629"/>
  <c r="D630"/>
  <c r="A630"/>
  <c r="E630"/>
  <c r="D631"/>
  <c r="A631"/>
  <c r="E631"/>
  <c r="D632"/>
  <c r="A632"/>
  <c r="E632"/>
  <c r="D633"/>
  <c r="A633"/>
  <c r="E633"/>
  <c r="D634"/>
  <c r="A634"/>
  <c r="E634"/>
  <c r="D635"/>
  <c r="A635"/>
  <c r="E635"/>
  <c r="D636"/>
  <c r="A636"/>
  <c r="E636"/>
  <c r="D637"/>
  <c r="A637"/>
  <c r="E637"/>
  <c r="D638"/>
  <c r="A638"/>
  <c r="E638"/>
  <c r="D639"/>
  <c r="A639"/>
  <c r="E639"/>
  <c r="D640"/>
  <c r="A640"/>
  <c r="E640"/>
  <c r="D641"/>
  <c r="A641"/>
  <c r="E641"/>
  <c r="D642"/>
  <c r="A642"/>
  <c r="E642"/>
  <c r="D643"/>
  <c r="A643"/>
  <c r="E643"/>
  <c r="D644"/>
  <c r="A644"/>
  <c r="E644"/>
  <c r="D645"/>
  <c r="A645"/>
  <c r="E645"/>
  <c r="D646"/>
  <c r="A646"/>
  <c r="E646"/>
  <c r="D647"/>
  <c r="A647"/>
  <c r="E647"/>
  <c r="D648"/>
  <c r="A648"/>
  <c r="E648"/>
  <c r="D649"/>
  <c r="A649"/>
  <c r="E649"/>
  <c r="D650"/>
  <c r="A650"/>
  <c r="E650"/>
  <c r="D651"/>
  <c r="A651"/>
  <c r="E651"/>
  <c r="D652"/>
  <c r="A652"/>
  <c r="E652"/>
  <c r="D653"/>
  <c r="A653"/>
  <c r="E653"/>
  <c r="D654"/>
  <c r="A654"/>
  <c r="E654"/>
  <c r="D655"/>
  <c r="A655"/>
  <c r="E655"/>
  <c r="D656"/>
  <c r="A656"/>
  <c r="E656"/>
  <c r="D657"/>
  <c r="A657"/>
  <c r="E657"/>
  <c r="D658"/>
  <c r="A658"/>
  <c r="E658"/>
  <c r="D659"/>
  <c r="A659"/>
  <c r="E659"/>
  <c r="D660"/>
  <c r="A660"/>
  <c r="E660"/>
  <c r="D661"/>
  <c r="A661"/>
  <c r="E661"/>
  <c r="D662"/>
  <c r="A662"/>
  <c r="E662"/>
  <c r="D663"/>
  <c r="A663"/>
  <c r="E663"/>
  <c r="D664"/>
  <c r="A664"/>
  <c r="E664"/>
  <c r="D665"/>
  <c r="A665"/>
  <c r="E665"/>
  <c r="D666"/>
  <c r="A666"/>
  <c r="E666"/>
  <c r="D667"/>
  <c r="A667"/>
  <c r="E667"/>
  <c r="D668"/>
  <c r="A668"/>
  <c r="E668"/>
  <c r="D669"/>
  <c r="A669"/>
  <c r="E669"/>
  <c r="D670"/>
  <c r="A670"/>
  <c r="E670"/>
  <c r="D671"/>
  <c r="A671"/>
  <c r="E671"/>
  <c r="D672"/>
  <c r="A672"/>
  <c r="E672"/>
  <c r="D673"/>
  <c r="A673"/>
  <c r="E673"/>
  <c r="D674"/>
  <c r="A674"/>
  <c r="E674"/>
  <c r="D675"/>
  <c r="A675"/>
  <c r="E675"/>
  <c r="D676"/>
  <c r="A676"/>
  <c r="E676"/>
  <c r="D677"/>
  <c r="A677"/>
  <c r="E677"/>
  <c r="D678"/>
  <c r="A678"/>
  <c r="E678"/>
  <c r="D679"/>
  <c r="A679"/>
  <c r="E679"/>
  <c r="D680"/>
  <c r="A680"/>
  <c r="E680"/>
  <c r="D681"/>
  <c r="A681"/>
  <c r="E681"/>
  <c r="D682"/>
  <c r="A682"/>
  <c r="E682"/>
  <c r="D683"/>
  <c r="A683"/>
  <c r="E683"/>
  <c r="D684"/>
  <c r="A684"/>
  <c r="E684"/>
  <c r="D685"/>
  <c r="A685"/>
  <c r="E685"/>
  <c r="D686"/>
  <c r="A686"/>
  <c r="E686"/>
  <c r="D687"/>
  <c r="A687"/>
  <c r="E687"/>
  <c r="D688"/>
  <c r="A688"/>
  <c r="E688"/>
  <c r="D689"/>
  <c r="A689"/>
  <c r="E689"/>
  <c r="D690"/>
  <c r="A690"/>
  <c r="E690"/>
  <c r="D691"/>
  <c r="A691"/>
  <c r="E691"/>
  <c r="D692"/>
  <c r="A692"/>
  <c r="E692"/>
  <c r="D693"/>
  <c r="A693"/>
  <c r="E693"/>
  <c r="D694"/>
  <c r="A694"/>
  <c r="E694"/>
  <c r="D695"/>
  <c r="A695"/>
  <c r="E695"/>
  <c r="D696"/>
  <c r="A696"/>
  <c r="E696"/>
  <c r="D697"/>
  <c r="A697"/>
  <c r="E697"/>
  <c r="D698"/>
  <c r="A698"/>
  <c r="E698"/>
  <c r="D699"/>
  <c r="A699"/>
  <c r="E699"/>
  <c r="D700"/>
  <c r="A700"/>
  <c r="E700"/>
  <c r="D701"/>
  <c r="A701"/>
  <c r="E701"/>
  <c r="D702"/>
  <c r="A702"/>
  <c r="E702"/>
  <c r="D703"/>
  <c r="A703"/>
  <c r="E703"/>
  <c r="D704"/>
  <c r="A704"/>
  <c r="E704"/>
  <c r="D705"/>
  <c r="A705"/>
  <c r="E705"/>
  <c r="D706"/>
  <c r="A706"/>
  <c r="E706"/>
  <c r="D707"/>
  <c r="A707"/>
  <c r="E707"/>
  <c r="D708"/>
  <c r="A708"/>
  <c r="E708"/>
  <c r="D709"/>
  <c r="A709"/>
  <c r="E709"/>
  <c r="D710"/>
  <c r="A710"/>
  <c r="E710"/>
  <c r="D711"/>
  <c r="A711"/>
  <c r="E711"/>
  <c r="D712"/>
  <c r="A712"/>
  <c r="E712"/>
  <c r="D713"/>
  <c r="A713"/>
  <c r="E713"/>
  <c r="D714"/>
  <c r="A714"/>
  <c r="E714"/>
  <c r="D715"/>
  <c r="A715"/>
  <c r="E715"/>
  <c r="D716"/>
  <c r="A716"/>
  <c r="E716"/>
  <c r="D717"/>
  <c r="A717"/>
  <c r="E717"/>
  <c r="D718"/>
  <c r="A718"/>
  <c r="E718"/>
  <c r="D719"/>
  <c r="A719"/>
  <c r="E719"/>
  <c r="D720"/>
  <c r="A720"/>
  <c r="E720"/>
  <c r="D721"/>
  <c r="A721"/>
  <c r="E721"/>
  <c r="D722"/>
  <c r="A722"/>
  <c r="E722"/>
  <c r="D723"/>
  <c r="A723"/>
  <c r="E723"/>
  <c r="D724"/>
  <c r="A724"/>
  <c r="E724"/>
  <c r="D725"/>
  <c r="A725"/>
  <c r="E725"/>
  <c r="D726"/>
  <c r="A726"/>
  <c r="E726"/>
  <c r="D727"/>
  <c r="A727"/>
  <c r="E727"/>
  <c r="D728"/>
  <c r="A728"/>
  <c r="E728"/>
  <c r="D729"/>
  <c r="A729"/>
  <c r="E729"/>
  <c r="D730"/>
  <c r="A730"/>
  <c r="E730"/>
  <c r="D731"/>
  <c r="A731"/>
  <c r="E731"/>
  <c r="D732"/>
  <c r="A732"/>
  <c r="E732"/>
  <c r="D733"/>
  <c r="A733"/>
  <c r="E733"/>
  <c r="D734"/>
  <c r="A734"/>
  <c r="E734"/>
  <c r="D735"/>
  <c r="A735"/>
  <c r="E735"/>
  <c r="D736"/>
  <c r="A736"/>
  <c r="E736"/>
  <c r="D737"/>
  <c r="A737"/>
  <c r="E737"/>
  <c r="D738"/>
  <c r="A738"/>
  <c r="E738"/>
  <c r="D739"/>
  <c r="A739"/>
  <c r="E739"/>
  <c r="D740"/>
  <c r="A740"/>
  <c r="E740"/>
  <c r="D741"/>
  <c r="A741"/>
  <c r="E741"/>
  <c r="D742"/>
  <c r="A742"/>
  <c r="E742"/>
  <c r="D743"/>
  <c r="A743"/>
  <c r="E743"/>
  <c r="D744"/>
  <c r="A744"/>
  <c r="E744"/>
  <c r="D745"/>
  <c r="A745"/>
  <c r="E745"/>
  <c r="D746"/>
  <c r="A746"/>
  <c r="E746"/>
  <c r="D747"/>
  <c r="A747"/>
  <c r="E747"/>
  <c r="D748"/>
  <c r="A748"/>
  <c r="E748"/>
  <c r="D749"/>
  <c r="A749"/>
  <c r="E749"/>
  <c r="D750"/>
  <c r="A750"/>
  <c r="E750"/>
  <c r="D751"/>
  <c r="A751"/>
  <c r="E751"/>
  <c r="D752"/>
  <c r="A752"/>
  <c r="E752"/>
  <c r="D753"/>
  <c r="A753"/>
  <c r="E753"/>
  <c r="D754"/>
  <c r="A754"/>
  <c r="E754"/>
  <c r="D755"/>
  <c r="A755"/>
  <c r="E755"/>
  <c r="D756"/>
  <c r="A756"/>
  <c r="E756"/>
  <c r="D757"/>
  <c r="A757"/>
  <c r="E757"/>
  <c r="D758"/>
  <c r="A758"/>
  <c r="E758"/>
  <c r="D759"/>
  <c r="A759"/>
  <c r="E759"/>
  <c r="D760"/>
  <c r="A760"/>
  <c r="E760"/>
  <c r="D761"/>
  <c r="A761"/>
  <c r="E761"/>
  <c r="D762"/>
  <c r="A762"/>
  <c r="E762"/>
  <c r="D763"/>
  <c r="A763"/>
  <c r="E763"/>
  <c r="D764"/>
  <c r="A764"/>
  <c r="E764"/>
  <c r="D765"/>
  <c r="A765"/>
  <c r="E765"/>
  <c r="D766"/>
  <c r="A766"/>
  <c r="E766"/>
  <c r="D767"/>
  <c r="A767"/>
  <c r="E767"/>
  <c r="D768"/>
  <c r="A768"/>
  <c r="E768"/>
  <c r="D769"/>
  <c r="A769"/>
  <c r="E769"/>
  <c r="D770"/>
  <c r="A770"/>
  <c r="E770"/>
  <c r="D771"/>
  <c r="A771"/>
  <c r="E771"/>
  <c r="D772"/>
  <c r="A772"/>
  <c r="E772"/>
  <c r="D773"/>
  <c r="A773"/>
  <c r="E773"/>
  <c r="D774"/>
  <c r="A774"/>
  <c r="E774"/>
  <c r="D775"/>
  <c r="A775"/>
  <c r="E775"/>
  <c r="D776"/>
  <c r="A776"/>
  <c r="E776"/>
  <c r="D777"/>
  <c r="A777"/>
  <c r="E777"/>
  <c r="D778"/>
  <c r="A778"/>
  <c r="E778"/>
  <c r="D779"/>
  <c r="A779"/>
  <c r="E779"/>
  <c r="D780"/>
  <c r="A780"/>
  <c r="E780"/>
  <c r="D781"/>
  <c r="A781"/>
  <c r="E781"/>
  <c r="D782"/>
  <c r="A782"/>
  <c r="E782"/>
  <c r="D783"/>
  <c r="A783"/>
  <c r="E783"/>
  <c r="D784"/>
  <c r="A784"/>
  <c r="E784"/>
  <c r="D785"/>
  <c r="A785"/>
  <c r="E785"/>
  <c r="D786"/>
  <c r="A786"/>
  <c r="E786"/>
  <c r="D787"/>
  <c r="A787"/>
  <c r="E787"/>
  <c r="D788"/>
  <c r="A788"/>
  <c r="E788"/>
  <c r="D789"/>
  <c r="A789"/>
  <c r="E789"/>
  <c r="D790"/>
  <c r="A790"/>
  <c r="E790"/>
  <c r="D791"/>
  <c r="A791"/>
  <c r="E791"/>
  <c r="D792"/>
  <c r="A792"/>
  <c r="E792"/>
  <c r="D793"/>
  <c r="A793"/>
  <c r="E793"/>
  <c r="D794"/>
  <c r="A794"/>
  <c r="E794"/>
  <c r="D795"/>
  <c r="A795"/>
  <c r="E795"/>
  <c r="D796"/>
  <c r="A796"/>
  <c r="E796"/>
  <c r="D797"/>
  <c r="A797"/>
  <c r="E797"/>
  <c r="D798"/>
  <c r="A798"/>
  <c r="E798"/>
  <c r="D799"/>
  <c r="A799"/>
  <c r="E799"/>
  <c r="D800"/>
  <c r="A800"/>
  <c r="E800"/>
  <c r="D801"/>
  <c r="A801"/>
  <c r="E801"/>
  <c r="D802"/>
  <c r="A802"/>
  <c r="E802"/>
  <c r="D803"/>
  <c r="A803"/>
  <c r="E803"/>
  <c r="D804"/>
  <c r="A804"/>
  <c r="E804"/>
  <c r="D805"/>
  <c r="A805"/>
  <c r="E805"/>
  <c r="D806"/>
  <c r="A806"/>
  <c r="E806"/>
  <c r="D807"/>
  <c r="A807"/>
  <c r="E807"/>
  <c r="D808"/>
  <c r="A808"/>
  <c r="E808"/>
  <c r="D809"/>
  <c r="A809"/>
  <c r="E809"/>
  <c r="D810"/>
  <c r="A810"/>
  <c r="E810"/>
  <c r="D811"/>
  <c r="A811"/>
  <c r="E811"/>
  <c r="D812"/>
  <c r="A812"/>
  <c r="E812"/>
  <c r="D813"/>
  <c r="A813"/>
  <c r="E813"/>
  <c r="D814"/>
  <c r="A814"/>
  <c r="E814"/>
  <c r="D815"/>
  <c r="A815"/>
  <c r="E815"/>
  <c r="D816"/>
  <c r="A816"/>
  <c r="E816"/>
  <c r="D817"/>
  <c r="A817"/>
  <c r="E817"/>
  <c r="D818"/>
  <c r="A818"/>
  <c r="E818"/>
  <c r="D819"/>
  <c r="A819"/>
  <c r="E819"/>
  <c r="D820"/>
  <c r="A820"/>
  <c r="E820"/>
  <c r="D821"/>
  <c r="A821"/>
  <c r="E821"/>
  <c r="D822"/>
  <c r="A822"/>
  <c r="E822"/>
  <c r="D823"/>
  <c r="A823"/>
  <c r="E823"/>
  <c r="D824"/>
  <c r="A824"/>
  <c r="E824"/>
  <c r="D825"/>
  <c r="A825"/>
  <c r="E825"/>
  <c r="D826"/>
  <c r="A826"/>
  <c r="E826"/>
  <c r="D827"/>
  <c r="A827"/>
  <c r="E827"/>
  <c r="D828"/>
  <c r="A828"/>
  <c r="E828"/>
  <c r="D829"/>
  <c r="A829"/>
  <c r="E829"/>
  <c r="D830"/>
  <c r="A830"/>
  <c r="E830"/>
  <c r="D831"/>
  <c r="A831"/>
  <c r="E831"/>
  <c r="D832"/>
  <c r="A832"/>
  <c r="E832"/>
  <c r="D833"/>
  <c r="A833"/>
  <c r="E833"/>
  <c r="D834"/>
  <c r="A834"/>
  <c r="E834"/>
  <c r="D835"/>
  <c r="A835"/>
  <c r="E835"/>
  <c r="D836"/>
  <c r="A836"/>
  <c r="E836"/>
  <c r="D837"/>
  <c r="A837"/>
  <c r="E837"/>
  <c r="D838"/>
  <c r="A838"/>
  <c r="E838"/>
  <c r="D839"/>
  <c r="A839"/>
  <c r="E839"/>
  <c r="D840"/>
  <c r="A840"/>
  <c r="E840"/>
  <c r="D841"/>
  <c r="A841"/>
  <c r="E841"/>
  <c r="D842"/>
  <c r="A842"/>
  <c r="E842"/>
  <c r="D843"/>
  <c r="A843"/>
  <c r="E843"/>
  <c r="D844"/>
  <c r="A844"/>
  <c r="E844"/>
  <c r="D845"/>
  <c r="A845"/>
  <c r="E845"/>
  <c r="D846"/>
  <c r="A846"/>
  <c r="E846"/>
  <c r="D847"/>
  <c r="A847"/>
  <c r="E847"/>
  <c r="D848"/>
  <c r="A848"/>
  <c r="E848"/>
  <c r="D849"/>
  <c r="A849"/>
  <c r="E849"/>
  <c r="D850"/>
  <c r="A850"/>
  <c r="E850"/>
  <c r="D851"/>
  <c r="A851"/>
  <c r="E851"/>
  <c r="D852"/>
  <c r="A852"/>
  <c r="E852"/>
  <c r="D853"/>
  <c r="A853"/>
  <c r="E853"/>
  <c r="D854"/>
  <c r="A854"/>
  <c r="E854"/>
  <c r="D855"/>
  <c r="A855"/>
  <c r="E855"/>
  <c r="D856"/>
  <c r="A856"/>
  <c r="E856"/>
  <c r="D857"/>
  <c r="A857"/>
  <c r="E857"/>
  <c r="D858"/>
  <c r="A858"/>
  <c r="E858"/>
  <c r="D859"/>
  <c r="A859"/>
  <c r="E859"/>
  <c r="D860"/>
  <c r="A860"/>
  <c r="E860"/>
  <c r="D861"/>
  <c r="A861"/>
  <c r="E861"/>
  <c r="D862"/>
  <c r="A862"/>
  <c r="E862"/>
  <c r="D863"/>
  <c r="A863"/>
  <c r="E863"/>
  <c r="D864"/>
  <c r="A864"/>
  <c r="E864"/>
  <c r="D865"/>
  <c r="A865"/>
  <c r="E865"/>
  <c r="D866"/>
  <c r="A866"/>
  <c r="E866"/>
  <c r="D867"/>
  <c r="A867"/>
  <c r="E867"/>
  <c r="D868"/>
  <c r="A868"/>
  <c r="E868"/>
  <c r="D869"/>
  <c r="A869"/>
  <c r="E869"/>
  <c r="D870"/>
  <c r="A870"/>
  <c r="E870"/>
  <c r="D871"/>
  <c r="A871"/>
  <c r="E871"/>
  <c r="D872"/>
  <c r="A872"/>
  <c r="E872"/>
  <c r="D873"/>
  <c r="A873"/>
  <c r="E873"/>
  <c r="D874"/>
  <c r="A874"/>
  <c r="E874"/>
  <c r="D875"/>
  <c r="A875"/>
  <c r="E875"/>
  <c r="D876"/>
  <c r="A876"/>
  <c r="E876"/>
  <c r="D877"/>
  <c r="A877"/>
  <c r="E877"/>
  <c r="D878"/>
  <c r="A878"/>
  <c r="E878"/>
  <c r="D879"/>
  <c r="A879"/>
  <c r="E879"/>
  <c r="D880"/>
  <c r="A880"/>
  <c r="E880"/>
  <c r="D881"/>
  <c r="A881"/>
  <c r="E881"/>
  <c r="D882"/>
  <c r="A882"/>
  <c r="E882"/>
  <c r="D883"/>
  <c r="A883"/>
  <c r="E883"/>
  <c r="D884"/>
  <c r="A884"/>
  <c r="E884"/>
  <c r="D885"/>
  <c r="A885"/>
  <c r="E885"/>
  <c r="D886"/>
  <c r="A886"/>
  <c r="E886"/>
  <c r="D887"/>
  <c r="A887"/>
  <c r="E887"/>
  <c r="D888"/>
  <c r="A888"/>
  <c r="E888"/>
  <c r="D889"/>
  <c r="A889"/>
  <c r="E889"/>
  <c r="D890"/>
  <c r="A890"/>
  <c r="E890"/>
  <c r="D891"/>
  <c r="A891"/>
  <c r="E891"/>
  <c r="D892"/>
  <c r="A892"/>
  <c r="E892"/>
  <c r="D893"/>
  <c r="A893"/>
  <c r="E893"/>
  <c r="D894"/>
  <c r="A894"/>
  <c r="E894"/>
  <c r="D895"/>
  <c r="A895"/>
  <c r="E895"/>
  <c r="D896"/>
  <c r="A896"/>
  <c r="E896"/>
  <c r="D897"/>
  <c r="A897"/>
  <c r="E897"/>
  <c r="D898"/>
  <c r="A898"/>
  <c r="E898"/>
  <c r="D899"/>
  <c r="A899"/>
  <c r="E899"/>
  <c r="D900"/>
  <c r="A900"/>
  <c r="E900"/>
  <c r="D901"/>
  <c r="A901"/>
  <c r="E901"/>
  <c r="D902"/>
  <c r="A902"/>
  <c r="E902"/>
  <c r="D903"/>
  <c r="A903"/>
  <c r="E903"/>
  <c r="D904"/>
  <c r="A904"/>
  <c r="E904"/>
  <c r="D905"/>
  <c r="A905"/>
  <c r="E905"/>
  <c r="D906"/>
  <c r="A906"/>
  <c r="E906"/>
  <c r="D907"/>
  <c r="A907"/>
  <c r="E907"/>
  <c r="D908"/>
  <c r="A908"/>
  <c r="E908"/>
  <c r="D909"/>
  <c r="A909"/>
  <c r="E909"/>
  <c r="D910"/>
  <c r="A910"/>
  <c r="E910"/>
  <c r="D911"/>
  <c r="A911"/>
  <c r="E911"/>
  <c r="D912"/>
  <c r="A912"/>
  <c r="E912"/>
  <c r="D913"/>
  <c r="A913"/>
  <c r="E913"/>
  <c r="D914"/>
  <c r="A914"/>
  <c r="E914"/>
  <c r="D915"/>
  <c r="A915"/>
  <c r="E915"/>
  <c r="D916"/>
  <c r="A916"/>
  <c r="E916"/>
  <c r="D917"/>
  <c r="A917"/>
  <c r="E917"/>
  <c r="D918"/>
  <c r="A918"/>
  <c r="E918"/>
  <c r="D919"/>
  <c r="A919"/>
  <c r="E919"/>
  <c r="D920"/>
  <c r="A920"/>
  <c r="E920"/>
  <c r="D921"/>
  <c r="A921"/>
  <c r="E921"/>
  <c r="D922"/>
  <c r="A922"/>
  <c r="E922"/>
  <c r="D923"/>
  <c r="A923"/>
  <c r="E923"/>
  <c r="D924"/>
  <c r="A924"/>
  <c r="E924"/>
  <c r="D925"/>
  <c r="A925"/>
  <c r="E925"/>
  <c r="D926"/>
  <c r="A926"/>
  <c r="E926"/>
  <c r="D927"/>
  <c r="A927"/>
  <c r="E927"/>
  <c r="D928"/>
  <c r="A928"/>
  <c r="E928"/>
  <c r="D929"/>
  <c r="A929"/>
  <c r="E929"/>
  <c r="D930"/>
  <c r="A930"/>
  <c r="E930"/>
  <c r="D931"/>
  <c r="A931"/>
  <c r="E931"/>
  <c r="D932"/>
  <c r="A932"/>
  <c r="E932"/>
  <c r="D933"/>
  <c r="A933"/>
  <c r="E933"/>
  <c r="D934"/>
  <c r="A934"/>
  <c r="E934"/>
  <c r="D935"/>
  <c r="A935"/>
  <c r="E935"/>
  <c r="D936"/>
  <c r="A936"/>
  <c r="E936"/>
  <c r="D937"/>
  <c r="A937"/>
  <c r="E937"/>
  <c r="D938"/>
  <c r="A938"/>
  <c r="E938"/>
  <c r="D939"/>
  <c r="A939"/>
  <c r="E939"/>
  <c r="D940"/>
  <c r="A940"/>
  <c r="E940"/>
  <c r="D941"/>
  <c r="A941"/>
  <c r="E941"/>
  <c r="D942"/>
  <c r="A942"/>
  <c r="E942"/>
  <c r="D943"/>
  <c r="A943"/>
  <c r="E943"/>
  <c r="D944"/>
  <c r="A944"/>
  <c r="E944"/>
  <c r="D945"/>
  <c r="A945"/>
  <c r="E945"/>
  <c r="D946"/>
  <c r="A946"/>
  <c r="E946"/>
  <c r="D947"/>
  <c r="A947"/>
  <c r="E947"/>
  <c r="D948"/>
  <c r="A948"/>
  <c r="E948"/>
  <c r="D949"/>
  <c r="A949"/>
  <c r="E949"/>
  <c r="D950"/>
  <c r="A950"/>
  <c r="E950"/>
  <c r="D951"/>
  <c r="A951"/>
  <c r="E951"/>
  <c r="D952"/>
  <c r="A952"/>
  <c r="E952"/>
  <c r="D953"/>
  <c r="A953"/>
  <c r="E953"/>
  <c r="D954"/>
  <c r="A954"/>
  <c r="E954"/>
  <c r="D955"/>
  <c r="A955"/>
  <c r="E955"/>
  <c r="D956"/>
  <c r="A956"/>
  <c r="E956"/>
  <c r="D957"/>
  <c r="A957"/>
  <c r="E957"/>
  <c r="D958"/>
  <c r="A958"/>
  <c r="E958"/>
  <c r="D959"/>
  <c r="A959"/>
  <c r="E959"/>
  <c r="D960"/>
  <c r="A960"/>
  <c r="E960"/>
  <c r="D961"/>
  <c r="A961"/>
  <c r="E961"/>
  <c r="D962"/>
  <c r="A962"/>
  <c r="E962"/>
  <c r="D963"/>
  <c r="A963"/>
  <c r="E963"/>
  <c r="D964"/>
  <c r="A964"/>
  <c r="E964"/>
  <c r="D965"/>
  <c r="A965"/>
  <c r="E965"/>
  <c r="D966"/>
  <c r="A966"/>
  <c r="E966"/>
  <c r="D967"/>
  <c r="A967"/>
  <c r="E967"/>
  <c r="D968"/>
  <c r="A968"/>
  <c r="E968"/>
  <c r="D969"/>
  <c r="A969"/>
  <c r="E969"/>
  <c r="D970"/>
  <c r="A970"/>
  <c r="E970"/>
  <c r="D971"/>
  <c r="A971"/>
  <c r="E971"/>
  <c r="D972"/>
  <c r="A972"/>
  <c r="E972"/>
  <c r="D973"/>
  <c r="A973"/>
  <c r="E973"/>
  <c r="D974"/>
  <c r="A974"/>
  <c r="E974"/>
  <c r="D975"/>
  <c r="A975"/>
  <c r="E975"/>
  <c r="D976"/>
  <c r="A976"/>
  <c r="E976"/>
  <c r="D977"/>
  <c r="A977"/>
  <c r="E977"/>
  <c r="D978"/>
  <c r="A978"/>
  <c r="E978"/>
  <c r="D979"/>
  <c r="A979"/>
  <c r="E979"/>
  <c r="D980"/>
  <c r="A980"/>
  <c r="E980"/>
  <c r="D981"/>
  <c r="A981"/>
  <c r="E981"/>
  <c r="D982"/>
  <c r="A982"/>
  <c r="E982"/>
  <c r="D983"/>
  <c r="A983"/>
  <c r="E983"/>
  <c r="D984"/>
  <c r="A984"/>
  <c r="E984"/>
  <c r="D985"/>
  <c r="A985"/>
  <c r="E985"/>
  <c r="D986"/>
  <c r="A986"/>
  <c r="E986"/>
  <c r="D987"/>
  <c r="A987"/>
  <c r="E987"/>
  <c r="D988"/>
  <c r="A988"/>
  <c r="E988"/>
  <c r="D989"/>
  <c r="A989"/>
  <c r="E989"/>
  <c r="D990"/>
  <c r="A990"/>
  <c r="E990"/>
  <c r="D991"/>
  <c r="A991"/>
  <c r="E991"/>
  <c r="D992"/>
  <c r="A992"/>
  <c r="E992"/>
  <c r="D993"/>
  <c r="A993"/>
  <c r="E993"/>
  <c r="D994"/>
  <c r="A994"/>
  <c r="E994"/>
  <c r="D995"/>
  <c r="A995"/>
  <c r="E995"/>
  <c r="D996"/>
  <c r="A996"/>
  <c r="E996"/>
  <c r="D997"/>
  <c r="A997"/>
  <c r="E997"/>
  <c r="D998"/>
  <c r="A998"/>
  <c r="E998"/>
  <c r="D999"/>
  <c r="A999"/>
  <c r="E999"/>
  <c r="D1000"/>
  <c r="A1000"/>
  <c r="E1000"/>
  <c r="D1001"/>
  <c r="A1001"/>
  <c r="E1001"/>
  <c r="A5"/>
  <c r="B50" i="10"/>
  <c r="G50"/>
  <c r="A50"/>
  <c r="G6"/>
  <c r="N11" i="4"/>
  <c r="A1" i="10"/>
  <c r="C2" i="12"/>
  <c r="C39" i="10"/>
  <c r="F39"/>
  <c r="C38"/>
  <c r="C37"/>
  <c r="F37"/>
  <c r="C36"/>
  <c r="C34"/>
  <c r="F34"/>
  <c r="C33"/>
  <c r="F33"/>
  <c r="C32"/>
  <c r="F32"/>
  <c r="C31"/>
  <c r="F31"/>
  <c r="C11"/>
  <c r="B32"/>
  <c r="B33"/>
  <c r="B34"/>
  <c r="B31"/>
  <c r="C29"/>
  <c r="F29"/>
  <c r="C28"/>
  <c r="F28"/>
  <c r="C27"/>
  <c r="F27"/>
  <c r="C26"/>
  <c r="F26"/>
  <c r="B27"/>
  <c r="B28"/>
  <c r="B29"/>
  <c r="B26"/>
  <c r="C24"/>
  <c r="F24"/>
  <c r="C23"/>
  <c r="F23"/>
  <c r="C22"/>
  <c r="F22"/>
  <c r="C21"/>
  <c r="F21"/>
  <c r="B22"/>
  <c r="B23"/>
  <c r="B24"/>
  <c r="B21"/>
  <c r="C19"/>
  <c r="F19"/>
  <c r="C18"/>
  <c r="F18"/>
  <c r="C17"/>
  <c r="F17"/>
  <c r="C16"/>
  <c r="F16"/>
  <c r="B17"/>
  <c r="B18"/>
  <c r="B19"/>
  <c r="B16"/>
  <c r="F36"/>
  <c r="F38"/>
  <c r="B2" i="5"/>
  <c r="D11" i="4"/>
  <c r="D2" i="12"/>
  <c r="B2"/>
  <c r="A2"/>
  <c r="E2"/>
  <c r="A1"/>
  <c r="D5" i="11"/>
  <c r="C5"/>
  <c r="B5"/>
  <c r="A1"/>
  <c r="C3" i="10"/>
  <c r="B3"/>
  <c r="A3"/>
  <c r="D1"/>
  <c r="B4" i="4"/>
  <c r="C4" i="5"/>
  <c r="I2"/>
  <c r="N4"/>
  <c r="M4"/>
  <c r="L4"/>
  <c r="K4"/>
  <c r="J4"/>
  <c r="I4"/>
  <c r="H4"/>
  <c r="G4"/>
  <c r="F4"/>
  <c r="E4"/>
  <c r="D4"/>
  <c r="B4"/>
  <c r="A51" i="10"/>
  <c r="B58" i="4"/>
  <c r="D27"/>
  <c r="B55"/>
  <c r="A39" i="10"/>
  <c r="B54" i="4"/>
  <c r="A38" i="10"/>
  <c r="B53" i="4"/>
  <c r="A37" i="10"/>
  <c r="B52" i="4"/>
  <c r="A36" i="10"/>
  <c r="B49" i="4"/>
  <c r="A34" i="10"/>
  <c r="B48" i="4"/>
  <c r="A33" i="10"/>
  <c r="B47" i="4"/>
  <c r="A32" i="10"/>
  <c r="B46" i="4"/>
  <c r="A31" i="10"/>
  <c r="B43" i="4"/>
  <c r="A29" i="10"/>
  <c r="B42" i="4"/>
  <c r="A28" i="10"/>
  <c r="B41" i="4"/>
  <c r="A27" i="10"/>
  <c r="B40" i="4"/>
  <c r="A26" i="10"/>
  <c r="B37" i="4"/>
  <c r="A24" i="10"/>
  <c r="B36" i="4"/>
  <c r="A23" i="10"/>
  <c r="B35" i="4"/>
  <c r="A22" i="10"/>
  <c r="B34" i="4"/>
  <c r="A21" i="10"/>
  <c r="B31" i="4"/>
  <c r="A19" i="10"/>
  <c r="B30" i="4"/>
  <c r="A18" i="10"/>
  <c r="B29" i="4"/>
  <c r="A17" i="10"/>
  <c r="B28" i="4"/>
  <c r="A16" i="10"/>
  <c r="B25" i="4"/>
  <c r="B24"/>
  <c r="B23"/>
  <c r="B22"/>
  <c r="D21"/>
  <c r="B21"/>
  <c r="A10" i="10"/>
  <c r="G58" i="4"/>
  <c r="G51"/>
  <c r="G45"/>
  <c r="G39"/>
  <c r="G33"/>
  <c r="G27"/>
  <c r="G21"/>
  <c r="D58"/>
  <c r="D51"/>
  <c r="D45"/>
  <c r="D39"/>
  <c r="D33"/>
  <c r="A79"/>
  <c r="B77"/>
  <c r="A49" i="10"/>
  <c r="B75" i="4"/>
  <c r="A48" i="10"/>
  <c r="B73" i="4"/>
  <c r="A47" i="10"/>
  <c r="B71" i="4"/>
  <c r="A46" i="10"/>
  <c r="B69" i="4"/>
  <c r="A45" i="10"/>
  <c r="B67" i="4"/>
  <c r="A44" i="10"/>
  <c r="B65" i="4"/>
  <c r="A43" i="10"/>
  <c r="B63" i="4"/>
  <c r="A42" i="10"/>
  <c r="B61" i="4"/>
  <c r="A41" i="10"/>
  <c r="B59" i="4"/>
  <c r="A40" i="10"/>
  <c r="B57" i="4"/>
  <c r="B51"/>
  <c r="A35" i="10"/>
  <c r="B45" i="4"/>
  <c r="A30" i="10"/>
  <c r="B39" i="4"/>
  <c r="A25" i="10"/>
  <c r="B33" i="4"/>
  <c r="A20" i="10"/>
  <c r="B27" i="4"/>
  <c r="A15" i="10"/>
  <c r="B20" i="4"/>
  <c r="B18"/>
  <c r="B51" i="10"/>
  <c r="C51"/>
  <c r="F51"/>
  <c r="B13" i="4"/>
  <c r="B14"/>
  <c r="B15"/>
  <c r="B16"/>
  <c r="B17"/>
  <c r="B12"/>
  <c r="B9"/>
  <c r="B8"/>
  <c r="B7"/>
  <c r="B6"/>
  <c r="D2"/>
  <c r="B24" i="3"/>
  <c r="C3"/>
  <c r="C4"/>
  <c r="C5"/>
  <c r="C6"/>
  <c r="C7"/>
  <c r="C8"/>
  <c r="C9"/>
  <c r="C10"/>
  <c r="C11"/>
  <c r="C12"/>
  <c r="C13"/>
  <c r="C14"/>
  <c r="C15"/>
  <c r="C16"/>
  <c r="C17"/>
  <c r="C18"/>
  <c r="C19"/>
  <c r="C20"/>
  <c r="C21"/>
  <c r="C22"/>
  <c r="C23"/>
  <c r="C2"/>
  <c r="B2"/>
  <c r="B3"/>
  <c r="B4"/>
  <c r="B5"/>
  <c r="B6"/>
  <c r="B7"/>
  <c r="B8"/>
  <c r="B9"/>
  <c r="B10"/>
  <c r="B11"/>
  <c r="B12"/>
  <c r="B13"/>
  <c r="B14"/>
  <c r="B15"/>
  <c r="B16"/>
  <c r="B17"/>
  <c r="B18"/>
  <c r="B19"/>
  <c r="B20"/>
  <c r="B21"/>
  <c r="B22"/>
  <c r="B23"/>
  <c r="A59" i="2"/>
  <c r="A60"/>
  <c r="A61"/>
  <c r="A62"/>
  <c r="A63"/>
  <c r="A64"/>
  <c r="A65"/>
  <c r="A58"/>
  <c r="A55"/>
  <c r="A56"/>
  <c r="A44"/>
  <c r="A46"/>
  <c r="A47"/>
  <c r="A48"/>
  <c r="A49"/>
  <c r="A50"/>
  <c r="A51"/>
  <c r="A52"/>
  <c r="A53"/>
  <c r="A54"/>
  <c r="A42"/>
  <c r="A30"/>
  <c r="A31"/>
  <c r="A32"/>
  <c r="A33"/>
  <c r="A34"/>
  <c r="A35"/>
  <c r="A36"/>
  <c r="A37"/>
  <c r="A38"/>
  <c r="A39"/>
  <c r="A40"/>
  <c r="A29"/>
  <c r="A17"/>
  <c r="A18"/>
  <c r="A19"/>
  <c r="A20"/>
  <c r="A21"/>
  <c r="A22"/>
  <c r="A23"/>
  <c r="A24"/>
  <c r="A25"/>
  <c r="A26"/>
  <c r="A27"/>
  <c r="A16"/>
  <c r="A7"/>
  <c r="A8"/>
  <c r="A9"/>
  <c r="A10"/>
  <c r="A11"/>
  <c r="A12"/>
  <c r="A13"/>
  <c r="A14"/>
  <c r="A6"/>
  <c r="A1"/>
  <c r="A2"/>
  <c r="A3"/>
  <c r="A4"/>
  <c r="F35" i="4"/>
  <c r="F36"/>
  <c r="F37"/>
  <c r="F34"/>
  <c r="F29"/>
  <c r="F30"/>
  <c r="F31"/>
  <c r="F28"/>
  <c r="C43" i="10"/>
  <c r="F49" i="4"/>
  <c r="F48"/>
  <c r="F47"/>
  <c r="F46"/>
  <c r="H45"/>
  <c r="B78"/>
  <c r="F3"/>
  <c r="C5" i="10"/>
  <c r="D5"/>
  <c r="C6"/>
  <c r="F6"/>
  <c r="C50"/>
  <c r="O24" i="4"/>
  <c r="O25"/>
  <c r="O26"/>
  <c r="O23"/>
  <c r="C2" i="10"/>
  <c r="C49"/>
  <c r="F49"/>
  <c r="C48"/>
  <c r="F48"/>
  <c r="C47"/>
  <c r="F47"/>
  <c r="C46"/>
  <c r="F46"/>
  <c r="C45"/>
  <c r="F45"/>
  <c r="C44"/>
  <c r="F44"/>
  <c r="F43"/>
  <c r="C42"/>
  <c r="F42"/>
  <c r="C41"/>
  <c r="F41"/>
  <c r="C40"/>
  <c r="F40"/>
  <c r="C14"/>
  <c r="C13"/>
  <c r="F13"/>
  <c r="C12"/>
  <c r="F12"/>
  <c r="F11"/>
  <c r="C9"/>
  <c r="D9"/>
  <c r="C8"/>
  <c r="F8"/>
  <c r="C7"/>
  <c r="D7"/>
  <c r="B49"/>
  <c r="B48"/>
  <c r="B47"/>
  <c r="B46"/>
  <c r="B45"/>
  <c r="B44"/>
  <c r="B43"/>
  <c r="B42"/>
  <c r="B41"/>
  <c r="B40"/>
  <c r="B37"/>
  <c r="B38"/>
  <c r="B39"/>
  <c r="B36"/>
  <c r="B12"/>
  <c r="G11"/>
  <c r="B13"/>
  <c r="G12"/>
  <c r="B14"/>
  <c r="G13"/>
  <c r="B11"/>
  <c r="G10"/>
  <c r="B9"/>
  <c r="B8"/>
  <c r="B7"/>
  <c r="B6"/>
  <c r="F14"/>
  <c r="D14"/>
  <c r="G14"/>
  <c r="D11"/>
  <c r="F5"/>
  <c r="D8"/>
  <c r="F9"/>
  <c r="F7"/>
  <c r="O27" i="4"/>
  <c r="I54" i="10"/>
  <c r="F50"/>
  <c r="D13"/>
  <c r="D12"/>
  <c r="N10" i="4"/>
  <c r="N9"/>
  <c r="F55"/>
  <c r="F54"/>
  <c r="F53"/>
  <c r="F43"/>
  <c r="F42"/>
  <c r="F41"/>
  <c r="F52"/>
  <c r="F40"/>
  <c r="N25"/>
  <c r="N26"/>
  <c r="N24"/>
  <c r="N23"/>
  <c r="C4" i="10"/>
  <c r="A5"/>
  <c r="D28"/>
  <c r="D26"/>
  <c r="D23"/>
  <c r="D21"/>
  <c r="D18"/>
  <c r="D16"/>
  <c r="D33"/>
  <c r="D31"/>
  <c r="D38"/>
  <c r="D36"/>
  <c r="D49"/>
  <c r="D47"/>
  <c r="D45"/>
  <c r="D43"/>
  <c r="D41"/>
  <c r="D29"/>
  <c r="D27"/>
  <c r="D24"/>
  <c r="D22"/>
  <c r="D19"/>
  <c r="D17"/>
  <c r="D34"/>
  <c r="D32"/>
  <c r="D39"/>
  <c r="D37"/>
  <c r="D51"/>
  <c r="D48"/>
  <c r="D46"/>
  <c r="D44"/>
  <c r="D42"/>
  <c r="D40"/>
  <c r="N12" i="4"/>
  <c r="D4" i="10"/>
  <c r="F4"/>
  <c r="N27" i="4"/>
  <c r="B5" i="10"/>
  <c r="B4"/>
  <c r="H90" i="4"/>
  <c r="F90"/>
  <c r="C90"/>
  <c r="I90"/>
  <c r="G90"/>
  <c r="E90"/>
  <c r="D90"/>
  <c r="H6" i="10"/>
  <c r="D50"/>
  <c r="H54"/>
  <c r="J54"/>
  <c r="F54"/>
  <c r="B90" i="4"/>
  <c r="H53" i="10"/>
  <c r="H39" i="4"/>
  <c r="B2" i="10"/>
  <c r="A14"/>
  <c r="A13"/>
  <c r="A12"/>
  <c r="A11"/>
  <c r="A9"/>
  <c r="A8"/>
  <c r="A7"/>
  <c r="A4"/>
  <c r="F55"/>
  <c r="B10" i="4"/>
  <c r="A6" i="10"/>
  <c r="D6"/>
  <c r="F53"/>
  <c r="F52"/>
  <c r="F56"/>
  <c r="D2"/>
  <c r="I3" i="4"/>
</calcChain>
</file>

<file path=xl/comments1.xml><?xml version="1.0" encoding="utf-8"?>
<comments xmlns="http://schemas.openxmlformats.org/spreadsheetml/2006/main">
  <authors>
    <author>Connors, Jared M</author>
  </authors>
  <commentList>
    <comment ref="I5" authorId="0">
      <text>
        <r>
          <rPr>
            <b/>
            <sz val="9"/>
            <color indexed="81"/>
            <rFont val="Tahoma"/>
            <family val="2"/>
          </rPr>
          <t>Connors, Jared M:</t>
        </r>
        <r>
          <rPr>
            <sz val="9"/>
            <color indexed="81"/>
            <rFont val="Tahoma"/>
            <family val="2"/>
          </rPr>
          <t xml:space="preserve">
working in second, third and weblink</t>
        </r>
      </text>
    </comment>
  </commentList>
</comments>
</file>

<file path=xl/comments2.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6"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7"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8"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9"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List>
</comments>
</file>

<file path=xl/comments3.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<sst xmlns="http://schemas.openxmlformats.org/spreadsheetml/2006/main" count="4692" uniqueCount="2629">
  <si>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</si>
  <si>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</si>
  <si>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</si>
  <si>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</si>
  <si>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</si>
  <si>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</si>
  <si>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</si>
  <si>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</si>
  <si>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</si>
  <si>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</si>
  <si>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</si>
  <si>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D. 귀사의 협력사에게 "EICC-GeSI 분쟁으로부터 자유로운 제련소 프로그램(Conflict Free Smelter)"에서 인증한 제련소로부터 광물을 구매하도록 요구하고 있습니까?(*)</t>
  </si>
  <si>
    <t>E. 귀사의 협력사들의 분쟁광물 사용 금지 현황을 파악하기 위한 구매 실사(Due Dilligence) 평가를 실시하고 있습니까? (*)</t>
  </si>
  <si>
    <t>F. 귀사의 모든 협력사에게 "분쟁광물 사용보고 템플릿"을 작성하도록 요청합니까? (*)</t>
  </si>
  <si>
    <t>H. 귀사의 협력사들로부터 받은 분쟁광물 사용 관련 정보의 사실 여부를 확인하고 있습니까? (*)</t>
  </si>
  <si>
    <t>J. 귀사는 미국 증권거래위원회가 요구하는 분쟁광물 사용 공개조건 사항에 적용됩니까? (*)</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</si>
  <si>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</si>
  <si>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</si>
  <si>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</si>
  <si>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</si>
  <si>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</si>
  <si>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</si>
  <si>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</si>
  <si>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</si>
  <si>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</si>
  <si>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</si>
  <si>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</si>
  <si>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</si>
  <si>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このテンプレートは、製錬リファレンスリストを使用して製錬所に識別できます。列B、C、DおよびEは、製錬所のリファレンスリスト機能を利用するには、左から右への順序で完了する必要があります。
各金属/精錬/国の組み合せごとに、別々のラインを使用します。</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</si>
  <si>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</si>
  <si>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</si>
  <si>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</si>
  <si>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</si>
  <si>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
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</si>
  <si>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formating changes to the Smelter List tab and changes to known smelter list</t>
  </si>
  <si>
    <t>PT Stanindo Inti Perkasa</t>
  </si>
  <si>
    <t>PT Sumber Jaya Indah</t>
  </si>
  <si>
    <t>Mentok</t>
  </si>
  <si>
    <t>Duoluoshan</t>
  </si>
  <si>
    <t>Mitsubishi Materials Corporation</t>
  </si>
  <si>
    <t>Geiju Non-Ferrous Metal Processing Co. Ltd.</t>
  </si>
  <si>
    <t>Kemet Blue Powder</t>
  </si>
  <si>
    <t>Nihon Material Co. LTD</t>
  </si>
  <si>
    <t>Aida Chemical Industries Co. Ltd.</t>
  </si>
  <si>
    <t>Asaka Riken Co Ltd</t>
  </si>
  <si>
    <t>Kojima Chemicals Co. Ltd</t>
  </si>
  <si>
    <t>Sabin Metal Corp.</t>
  </si>
  <si>
    <t>United Precious Metal Refining Inc.</t>
  </si>
  <si>
    <t>Yokohama Metal Co Ltd</t>
  </si>
  <si>
    <t>1JPN071</t>
  </si>
  <si>
    <t>1JPN072</t>
  </si>
  <si>
    <t>1JPN073</t>
  </si>
  <si>
    <t>1JPN074</t>
  </si>
  <si>
    <t>1USA075</t>
  </si>
  <si>
    <t>1USA076</t>
  </si>
  <si>
    <t>1JPN077</t>
  </si>
  <si>
    <t>CNMC (Guangxi) PGMA Co. Ltd.</t>
  </si>
  <si>
    <t>2CHN050</t>
  </si>
  <si>
    <t>CNMC(GUANGXI)PGMA Smelting Plant</t>
  </si>
  <si>
    <t>CNMC(GUANGXI)PGMA Smelting Plant,Guangxi Pinggui PGMA Co. Ltd.</t>
  </si>
  <si>
    <t>Guangxi Pinggui PGMA Co. Ltd.</t>
  </si>
  <si>
    <t>Minmetals Ganzhou Tin Co. Ltd.</t>
  </si>
  <si>
    <t>2CHN051</t>
  </si>
  <si>
    <t>China Minmetals,Minmetal</t>
  </si>
  <si>
    <t>Minmetal</t>
  </si>
  <si>
    <t>China Minmetals</t>
  </si>
  <si>
    <t>3CHN016</t>
  </si>
  <si>
    <t>Conghua Tantalum and Niobium Smeltry</t>
  </si>
  <si>
    <t>ATI Tungsten Materials</t>
  </si>
  <si>
    <t>ATI,ATI Firth Sterling,ATI Metalworking Products,ATI Metalworking,ATI Metals,Allydne,Allydne Powder Technologies</t>
  </si>
  <si>
    <t>Xianglu Tungsten Industry Co. Ltd.</t>
  </si>
  <si>
    <t>China Minmetals Nonferrous Metals Co Ltd</t>
  </si>
  <si>
    <t>Zhangyuan Tungsten Co Ltd</t>
  </si>
  <si>
    <t>GTP,Osram Sylvania,Global Tungsten &amp; Powders Corp USA</t>
  </si>
  <si>
    <t>Starck,Stark,HCS,HC Starck,H.C. Starck</t>
  </si>
  <si>
    <t>Ganzhou Huaxing Tungsten Products Co. Ltd.,Ganzhou Huaxin Tungsten Products Ltd,JTGC,China National Nonferrous,China National Nonferrous Metals Imp. &amp; Exp. Jiangxi Corporation Ltd.,CNIECJX</t>
  </si>
  <si>
    <t>WBH</t>
  </si>
  <si>
    <t>Wolfram,Wolfram JSC</t>
  </si>
  <si>
    <t>XTC,XTC Haicang,XTC H.C.</t>
  </si>
  <si>
    <t>Zhuzhou Cemented Carbide Group Co Ltd</t>
  </si>
  <si>
    <t>ZCCC,Zhuzhou Cemented Carbide,Zhuzhou,Zhuzhou Cemented Carbide Works Imp. &amp; Exp. Co.,Chenzhou Diamond Tungsten Products Co. Ltd.</t>
  </si>
  <si>
    <t>4CHN015</t>
  </si>
  <si>
    <t>Ganzhou Grand Sea W &amp; Mo Group Co Ltd</t>
  </si>
  <si>
    <t>Ganzhou Grand Sea W and Mo Company,Ganzhou Grand Sea,Ganzhou Sinda W&amp;Mo Co. Ltd.,Ganzhou Sinda,Ganzhou Sea Dragon,Ganzhou Hailong W &amp; Mo Co. Ltd.</t>
  </si>
  <si>
    <t>4CHN016</t>
  </si>
  <si>
    <t>Japan New Metals Co Ltd</t>
  </si>
  <si>
    <t>JNM,Mitsubishi Materials Corporation,Mitsubishi</t>
  </si>
  <si>
    <t>Japan</t>
  </si>
  <si>
    <t>4JPN017</t>
  </si>
  <si>
    <t>Hunan Chenzhou Mining Group Co</t>
  </si>
  <si>
    <t>Chenzhou,Chenzhou Mining Group</t>
  </si>
  <si>
    <t>4CHN018</t>
  </si>
  <si>
    <t>ATI</t>
  </si>
  <si>
    <t>Allydne</t>
  </si>
  <si>
    <t>Allydne Powder Technologies</t>
  </si>
  <si>
    <t>ATI Firth Sterling</t>
  </si>
  <si>
    <t>ATI Metals</t>
  </si>
  <si>
    <t>ATI Metalworking</t>
  </si>
  <si>
    <t>Chenzhou Diamond Tungsten Products Co. Ltd.</t>
  </si>
  <si>
    <t>China Minmetals Corp</t>
  </si>
  <si>
    <t>CMN</t>
  </si>
  <si>
    <t>Gan Bei Tungsten Industry Co. Ltd.</t>
  </si>
  <si>
    <t>Minmetals</t>
  </si>
  <si>
    <t>Global Tungsten &amp; Powders Corp USA</t>
  </si>
  <si>
    <t>Osram Sylvania</t>
  </si>
  <si>
    <t>HCS</t>
  </si>
  <si>
    <t>H.C. Starck</t>
  </si>
  <si>
    <t>JXTC</t>
  </si>
  <si>
    <t>Ganzhou Huaxing Tungsten Products Co. Ltd.</t>
  </si>
  <si>
    <t>Ganzhou Huaxin Tungsten Products Ltd</t>
  </si>
  <si>
    <t>China National Nonferrous</t>
  </si>
  <si>
    <t>CNIECJX</t>
  </si>
  <si>
    <t>China National Nonferrous Metals Imp. &amp; Exp. Jiangxi Corporation Ltd.</t>
  </si>
  <si>
    <t>JTGC</t>
  </si>
  <si>
    <t>Wolfram</t>
  </si>
  <si>
    <t>Wolfram JSC</t>
  </si>
  <si>
    <t>XTC</t>
  </si>
  <si>
    <t>XTC H.C.</t>
  </si>
  <si>
    <t>XTC Haicang</t>
  </si>
  <si>
    <t>ZCCC</t>
  </si>
  <si>
    <t>Zhuzhou Cemented Carbide Works Imp. &amp; Exp. Co.</t>
  </si>
  <si>
    <t>China Minmetals Corp,CMN,Minmetals,China Minmetals,Gan Bei Tungsten Industry Co. Ltd.</t>
  </si>
  <si>
    <t>Ganzhou Hailong W &amp; Mo Co. Ltd.</t>
  </si>
  <si>
    <t>Ganzhou Grand Sea</t>
  </si>
  <si>
    <t>Ganzhou Grand Sea W and Mo Company</t>
  </si>
  <si>
    <t>Ganzhou Sea Dragon</t>
  </si>
  <si>
    <t>Ganzhou Sinda</t>
  </si>
  <si>
    <t>Ganzhou Sinda W&amp;Mo Co. Ltd.</t>
  </si>
  <si>
    <t>JNM</t>
  </si>
  <si>
    <t>Mitsubishi</t>
  </si>
  <si>
    <t>Chenzhou</t>
  </si>
  <si>
    <t>Chenzhou Mining Group</t>
  </si>
  <si>
    <t>Ganzhou Nonferrous Metals Smelting Co Ltd.,JXTC,Jiangxi Rare Earth &amp; Rare Metals Tungsten Group Imp.&amp; Exp. Co. Ltd.</t>
  </si>
  <si>
    <t>Jiangxi Rare Earth &amp; Rare Metals Tungsten Group Imp.&amp; Exp. Co. Ltd.</t>
  </si>
  <si>
    <t xml:space="preserve">China Minmetals </t>
  </si>
  <si>
    <t xml:space="preserve">HC Starck </t>
  </si>
  <si>
    <t xml:space="preserve">Mitsubishi Materials Corporation </t>
  </si>
  <si>
    <t xml:space="preserve">Mitsubishi Materials Corporation  </t>
  </si>
  <si>
    <t xml:space="preserve">Novosibirsk </t>
  </si>
  <si>
    <t>Novosibirsk Integrated Tin Works</t>
  </si>
  <si>
    <t xml:space="preserve">Starck </t>
  </si>
  <si>
    <t xml:space="preserve">Stark </t>
  </si>
  <si>
    <t xml:space="preserve">Zhuzhou </t>
  </si>
  <si>
    <t xml:space="preserve">Zhuzhou Cemented Carbide </t>
  </si>
  <si>
    <t>Jiujiang Tanbre</t>
  </si>
  <si>
    <t>Jiangxi Tungsten Industry Group Co Ltd</t>
  </si>
  <si>
    <t>Chugai Mining</t>
  </si>
  <si>
    <t>1JPN078</t>
  </si>
  <si>
    <t>Huichang Jinshunda Tin Co. Ltd</t>
  </si>
  <si>
    <t>2CHN052</t>
  </si>
  <si>
    <t>Kai Unita Trade Limited Liability Company</t>
  </si>
  <si>
    <t>2CHN053</t>
  </si>
  <si>
    <t>Dec. 21st 2012</t>
  </si>
  <si>
    <t>Revision 2.01 December 21st 2012</t>
  </si>
  <si>
    <t>Tejing (Vietnam) Tungsten Co Ltd</t>
  </si>
  <si>
    <t>Tejing Tungsten</t>
  </si>
  <si>
    <t>VIETNAM</t>
  </si>
  <si>
    <t>4VNM019</t>
  </si>
  <si>
    <t>Vitesse Semiconductor Corporation</t>
  </si>
  <si>
    <t>Aida chemical industries Co.,Ltd.</t>
  </si>
  <si>
    <t>Asaka Riken Co.,Ltd.</t>
  </si>
  <si>
    <t>Chugai Mining Co., Ltd.</t>
  </si>
  <si>
    <t>info@argor.com</t>
  </si>
  <si>
    <t>Mexico</t>
  </si>
  <si>
    <t>Cooson Sempsa</t>
  </si>
  <si>
    <t>Mr. Julian Sarda</t>
  </si>
  <si>
    <t>jsarda@sempsajp.com</t>
  </si>
  <si>
    <t>Koji Miyake</t>
  </si>
  <si>
    <t>miyakek@dowa.co.jp</t>
  </si>
  <si>
    <t>Dick Poon</t>
  </si>
  <si>
    <t>dick.poon@heraeus.com</t>
  </si>
  <si>
    <t>Hanau</t>
  </si>
  <si>
    <t>bonding-wire@heraeus.com</t>
  </si>
  <si>
    <t>Japan Pure Chemical</t>
  </si>
  <si>
    <t>Kanfort Industrial (Yantai) Co. Ltd.</t>
  </si>
  <si>
    <t>Kojima Chemical</t>
  </si>
  <si>
    <t>S Y Hong</t>
  </si>
  <si>
    <t>syhong@lsnikko.com</t>
  </si>
  <si>
    <t>Chile, Brazil</t>
  </si>
  <si>
    <t>Tetsuya Miyatake</t>
  </si>
  <si>
    <t>jigane@matsuda.sangyo.co.jp</t>
  </si>
  <si>
    <t>YF Tsoi</t>
  </si>
  <si>
    <t>Yeuk_Fung_Tsoi@metalor.com</t>
  </si>
  <si>
    <t>United States</t>
  </si>
  <si>
    <t>Kudani Haruo</t>
  </si>
  <si>
    <t>Kudani@mmc.co.jp</t>
  </si>
  <si>
    <t>hideto-ikezaki</t>
  </si>
  <si>
    <t>hideto-ikezaki@mitsui-high-tec.com</t>
  </si>
  <si>
    <t>David Madge</t>
  </si>
  <si>
    <t>madge@mint.ca</t>
  </si>
  <si>
    <t>Canada</t>
  </si>
  <si>
    <t>Kenji_Hguchi</t>
  </si>
  <si>
    <t>Kenji_Hguchi@ni.smm.co.jp</t>
  </si>
  <si>
    <t>Akihiko Okuda</t>
  </si>
  <si>
    <t>okuda@ml.tanaka.co.jp</t>
  </si>
  <si>
    <t>David Woodford</t>
  </si>
  <si>
    <t>david.woodford@perthmint.com.au</t>
  </si>
  <si>
    <t>Australia</t>
  </si>
  <si>
    <t>Yokohama Metal Co.,Ltd.</t>
  </si>
  <si>
    <t>Mr.Chen;
Wensheng Ren</t>
  </si>
  <si>
    <t>cxw61@yahoo.com.cn;
zjzyqhb@163.com</t>
  </si>
  <si>
    <t>China</t>
  </si>
  <si>
    <t>David Gussak</t>
  </si>
  <si>
    <t>david@exotech.com</t>
  </si>
  <si>
    <t>Best Metals</t>
  </si>
  <si>
    <t>BRAZIl</t>
  </si>
  <si>
    <t>Abel Teixeira</t>
  </si>
  <si>
    <t>arteixeira@bestmetais.com.br</t>
  </si>
  <si>
    <t>Butterworth</t>
  </si>
  <si>
    <t>Mr. Johanes Irving Tedy</t>
  </si>
  <si>
    <t>utdsmelt@yahoo.com</t>
  </si>
  <si>
    <t>Dae Kil</t>
  </si>
  <si>
    <t xml:space="preserve">Mr. Garcia Fernandez </t>
  </si>
  <si>
    <t>ruth.garcia@vinto.gob.bo</t>
  </si>
  <si>
    <t>Wu Ying</t>
  </si>
  <si>
    <t>wuytt@yahoo.com.cn</t>
  </si>
  <si>
    <t>yuhai@139.com</t>
  </si>
  <si>
    <t>Hana-High Metal</t>
  </si>
  <si>
    <t>Hyundai-Steel</t>
  </si>
  <si>
    <t>IBF IND Brasileira de Ferroligas Ltda</t>
  </si>
  <si>
    <t>Mr. Vivaldi Camargo</t>
  </si>
  <si>
    <t xml:space="preserve">adm@ibfl.com.br </t>
  </si>
  <si>
    <t>Mentok Smelter (PT Timah)</t>
  </si>
  <si>
    <t>Chua Cheong Yong</t>
  </si>
  <si>
    <t>chua.cy@msmelt.com</t>
  </si>
  <si>
    <t>Chief Chemist</t>
  </si>
  <si>
    <t>timah@pt.timah.co.id</t>
  </si>
  <si>
    <t>Els Laureys</t>
  </si>
  <si>
    <t>els.laureys@antwerp-metals.be</t>
  </si>
  <si>
    <t>Ketabang</t>
  </si>
  <si>
    <t>KOKI JAPAN</t>
  </si>
  <si>
    <t>KOVOHUTĚ PŘÍBRAM NÁSTUPNICKÁ, A.S.</t>
  </si>
  <si>
    <t>LingbaoJinyuan tonghu</t>
  </si>
  <si>
    <t>Luciana Miranda</t>
  </si>
  <si>
    <t xml:space="preserve">lpagnoncelli@mtaboca.com.br </t>
  </si>
  <si>
    <t>Ms. Rosa Reategui</t>
  </si>
  <si>
    <t>rosa.reategui@minsur.com</t>
  </si>
  <si>
    <t>Mamoru Minami</t>
  </si>
  <si>
    <t>mminami@mmc.co.jp</t>
  </si>
  <si>
    <t>Nathan Trotter</t>
  </si>
  <si>
    <t>Nihon Kagaku Sangyo Co., Ltd.</t>
  </si>
  <si>
    <t>Mr.Mariano Pero Taborga</t>
  </si>
  <si>
    <t>mpero@omsabo.com</t>
  </si>
  <si>
    <t>Poongsan</t>
  </si>
  <si>
    <t>Posco</t>
  </si>
  <si>
    <t xml:space="preserve">Mr.Johnny Sisviandi </t>
  </si>
  <si>
    <t>jsisviandi@yahoo.com</t>
  </si>
  <si>
    <t xml:space="preserve">PT Indra Eramulti Logam industri </t>
  </si>
  <si>
    <t>Mr.Yap Kean Pang</t>
  </si>
  <si>
    <t>yap.kp@msmelt.com</t>
  </si>
  <si>
    <t>Mr.Hardi Salim</t>
  </si>
  <si>
    <t>Aheuw@dsja-tin.com</t>
  </si>
  <si>
    <t>60-1 Otarube Kosakakouzan  Kosakama-machi</t>
  </si>
  <si>
    <t>Kazuno-gun</t>
  </si>
  <si>
    <t>Akita</t>
  </si>
  <si>
    <t>Huckleberry
recycled</t>
  </si>
  <si>
    <t>Canada
recycled</t>
  </si>
  <si>
    <t xml:space="preserve">30 On Chuen Street, On Lok Tsuen, Fanling, N.T., Hong Kong  </t>
  </si>
  <si>
    <t>Lung Chak Yeung</t>
  </si>
  <si>
    <t>chakyeung.lung@heraeus.com</t>
  </si>
  <si>
    <t>Confidential</t>
  </si>
  <si>
    <t>Australia, South Africa</t>
  </si>
  <si>
    <t>19-2 Hayama</t>
  </si>
  <si>
    <t>Noda</t>
  </si>
  <si>
    <t>Chiba</t>
  </si>
  <si>
    <t>DAEJIN INDUS CO., LTD</t>
  </si>
  <si>
    <t>#390-10, GOJANDONG, NAMDONGKU, INCHON, KOREA</t>
  </si>
  <si>
    <t>Inchon</t>
  </si>
  <si>
    <t>Gyeonggi-Do</t>
  </si>
  <si>
    <t>Jack, Lee</t>
  </si>
  <si>
    <t>daejin0707@naver.com</t>
  </si>
  <si>
    <t>Recycled</t>
  </si>
  <si>
    <t>Recycling Company</t>
  </si>
  <si>
    <t>DAEROUNG E&amp;C</t>
  </si>
  <si>
    <t>#396-1,MOKNAEDONG, DANWONKU, GYEONGGIDO, KOREA</t>
  </si>
  <si>
    <t>ANSANSI</t>
  </si>
  <si>
    <t>J.B. LEE</t>
  </si>
  <si>
    <t>jblee@daeryongenc.com</t>
  </si>
  <si>
    <t>DO SUNG CORPORATION</t>
  </si>
  <si>
    <t>#351-2, Gojang-dong,  Namdong-Ku</t>
  </si>
  <si>
    <t>B.K.PARK</t>
  </si>
  <si>
    <t>gold0074@nate.com</t>
  </si>
  <si>
    <t>HWASUNG CJ CO., Ltd.</t>
  </si>
  <si>
    <t>#631-2, Seonggk-dong, Danwon-ku</t>
  </si>
  <si>
    <t xml:space="preserve">Ansan </t>
  </si>
  <si>
    <t>B.H.CHOI</t>
  </si>
  <si>
    <t>eun85710@nate.com</t>
  </si>
  <si>
    <t>KOREA MATERIAL</t>
  </si>
  <si>
    <t>SAMWON METALS Corp.</t>
  </si>
  <si>
    <t>#409-5, GOJANDONG, NAMDONGKU ,INCHON, KOREA</t>
  </si>
  <si>
    <t>Ansan</t>
  </si>
  <si>
    <t>D.H.Kwak</t>
  </si>
  <si>
    <t>kwak3249@yahoo.co.kr</t>
  </si>
  <si>
    <t>#109gil, gungiro, Seoku, Inchon, Korea</t>
  </si>
  <si>
    <t>INCHON</t>
  </si>
  <si>
    <t>K.H.KANG</t>
  </si>
  <si>
    <t>kena01@hanmail.net</t>
  </si>
  <si>
    <t>TORECOM</t>
  </si>
  <si>
    <t>#180, UNYONGRI, DUNPOMYUN, ASANSI, KOREA</t>
  </si>
  <si>
    <t>S.Y.SONG</t>
  </si>
  <si>
    <t>ssy0919@torecom.co.kr</t>
  </si>
  <si>
    <t>All of Au in China sources is come from (SGE) Shanghai Gold Exchange.</t>
  </si>
  <si>
    <t>Chloe Lee</t>
  </si>
  <si>
    <t>Chloe_lee@aseglobal.com</t>
  </si>
  <si>
    <t>Substrate</t>
  </si>
  <si>
    <t>PT. Supra Sukses Trinusa</t>
  </si>
  <si>
    <t>PT. Indra Eramulti Logam Industria</t>
  </si>
  <si>
    <t>Rui Da Hung</t>
  </si>
  <si>
    <t>SGS BOLVIA S.A</t>
  </si>
  <si>
    <t>SOFT METALS Ltda</t>
  </si>
  <si>
    <t>Talcang City Nankang Metal Materila Co., Ltd</t>
  </si>
  <si>
    <t>Tong Ding Metal Company Ltd.</t>
  </si>
  <si>
    <t>Wuxi Yunxi</t>
  </si>
  <si>
    <t>Yifeng Tin Industry (Chenzhou) Co Ltd</t>
  </si>
  <si>
    <t>YunXi</t>
  </si>
  <si>
    <t>YUNNAN TIN COMPANY GROUP LIMITED</t>
  </si>
  <si>
    <t>COOPERSANTA</t>
  </si>
  <si>
    <t>White Solder Metalurgia</t>
  </si>
  <si>
    <t>Jean Goldschmidt International</t>
  </si>
  <si>
    <t>Allied Material Coproration (A.L.M.T)</t>
  </si>
  <si>
    <t>Axis Material Limited</t>
  </si>
  <si>
    <t>Hunan Chun-chang Non-ferrous Smelting &amp; Concentrating</t>
  </si>
  <si>
    <t>4721 Calle Carga, Camarillo, CA 93012</t>
  </si>
  <si>
    <t>Yes</t>
  </si>
  <si>
    <t>No</t>
  </si>
  <si>
    <t>Uncertain or Unknown</t>
  </si>
  <si>
    <t>Tara Prudhomme</t>
  </si>
  <si>
    <t>Business Operations Analyst</t>
  </si>
  <si>
    <t>tara@vitesse.com</t>
  </si>
  <si>
    <t>805-384-5312</t>
  </si>
  <si>
    <t>No but &gt; 75%</t>
  </si>
  <si>
    <t>Unknown</t>
  </si>
  <si>
    <t>A majority of our suppliers state No but some are uncertain</t>
  </si>
  <si>
    <t>We do not require it but all of our Tier 1 Suppliers have a policy in place</t>
  </si>
  <si>
    <t>Our Suppliers may or may not publicy post their policies on their websites</t>
  </si>
  <si>
    <t>We do not require it but all of our Tier 1 Suppliers require it from their direct suppliers</t>
  </si>
  <si>
    <t>No we have not implemented due diligence measures for conflict-free sourcing but our Tier 1 Suppliers have</t>
  </si>
  <si>
    <t>We requested our suppliers complete the Conflict Mineral Reporting Template based on the requests from our customers.</t>
  </si>
  <si>
    <t>No but our Tier 1 Suppliers do (documentation review only)</t>
  </si>
  <si>
    <t>No but our Tier 1 Suppliers Verification process includes corrective action management</t>
  </si>
  <si>
    <t>No but our Tier 1 Suppliers are subject to the SEC Conflict Minerals disclosure requirement rule.</t>
  </si>
  <si>
    <t xml:space="preserve">17-356-6738 </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</si>
  <si>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</si>
  <si>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</si>
  <si>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</si>
  <si>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</si>
  <si>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</si>
  <si>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</si>
  <si>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</si>
  <si>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</si>
  <si>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</si>
  <si>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</si>
  <si>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</si>
  <si>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</si>
  <si>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</si>
  <si>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</si>
  <si>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</si>
  <si>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</si>
  <si>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</si>
  <si>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</si>
  <si>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</si>
  <si>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</si>
  <si>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</si>
  <si>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</si>
  <si>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</si>
  <si>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</si>
  <si>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</si>
  <si>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</si>
  <si>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</si>
  <si>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</si>
  <si>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</si>
  <si>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</si>
  <si>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</si>
  <si>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</si>
  <si>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</si>
  <si>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</si>
  <si>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</si>
  <si>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</si>
  <si>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</si>
  <si>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</si>
  <si>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</si>
  <si>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</si>
  <si>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</si>
  <si>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</si>
  <si>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</si>
  <si>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</si>
  <si>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</si>
  <si>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</si>
  <si>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</si>
  <si>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</si>
  <si>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</si>
  <si>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</si>
  <si>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</si>
  <si>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</si>
  <si>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</si>
  <si>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</si>
  <si>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</si>
  <si>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</si>
  <si>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</si>
  <si>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</si>
  <si>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</si>
  <si>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</si>
  <si>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</si>
  <si>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</si>
  <si>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</si>
  <si>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</si>
  <si>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</si>
  <si>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</si>
  <si>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</si>
  <si>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YTCL,Yuntinic Resources Inc.,Smelting Branch of Yunnan Tin Company Limited</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</si>
  <si>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</si>
  <si>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</si>
  <si>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</si>
  <si>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</si>
  <si>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</si>
  <si>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</si>
  <si>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</si>
  <si>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</si>
  <si>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</si>
  <si>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</si>
  <si>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</si>
  <si>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</si>
  <si>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</si>
  <si>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</si>
  <si>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</si>
  <si>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</si>
  <si>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</si>
  <si>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</si>
  <si>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</si>
  <si>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</si>
  <si>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</si>
  <si>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</si>
  <si>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</si>
  <si>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</si>
  <si>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</si>
  <si>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</si>
  <si>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</si>
  <si>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</si>
  <si>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</si>
  <si>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</si>
  <si>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</si>
  <si>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</si>
  <si>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</si>
  <si>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</si>
  <si>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</si>
  <si>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</si>
  <si>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2.製錬業者参照表(*) - ドロップダウン・メニュから選択。ここに、テンプレート発行日時点の既知の製錬業者名が列記されています。製錬業者が
ここにない場合、「製錬業者が表に含まれていない」を選択してください。</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</si>
  <si>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</si>
  <si>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</si>
  <si>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</si>
  <si>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</si>
  <si>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</si>
  <si>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</si>
  <si>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</si>
  <si>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</si>
  <si>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</si>
  <si>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</si>
  <si>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</si>
  <si>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</si>
  <si>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</si>
  <si>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</si>
  <si>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</si>
  <si>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</si>
  <si>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</si>
  <si>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</si>
  <si>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</si>
  <si>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</si>
  <si>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</si>
  <si>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</si>
  <si>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</si>
  <si>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</si>
  <si>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</si>
  <si>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Tungstène (W) (*)</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</si>
  <si>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</si>
  <si>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</si>
  <si>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</si>
  <si>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</si>
  <si>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</si>
  <si>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</si>
  <si>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</si>
  <si>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</si>
  <si>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</si>
  <si>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</si>
  <si>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</si>
  <si>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</si>
  <si>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</si>
  <si>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</si>
  <si>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</si>
  <si>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</si>
  <si>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</si>
  <si>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</si>
  <si>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</si>
  <si>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</si>
  <si>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</si>
  <si>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</si>
  <si>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</si>
  <si>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</si>
  <si>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</si>
  <si>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</si>
  <si>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</si>
  <si>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</si>
  <si>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</si>
  <si>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</si>
  <si>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</si>
  <si>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</si>
  <si>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</si>
  <si>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</si>
  <si>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</si>
  <si>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</si>
  <si>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</si>
  <si>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</si>
  <si>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</si>
  <si>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</si>
  <si>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</si>
  <si>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</si>
  <si>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</si>
  <si>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</si>
  <si>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</si>
  <si>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</si>
  <si>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</si>
  <si>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</si>
  <si>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</si>
  <si>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「申告」タブの報告レベルで「製品レベル」を選択した場合のみ記入が必須となります</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</si>
  <si>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</si>
  <si>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</si>
  <si>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</si>
  <si>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</si>
  <si>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</si>
  <si>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</si>
  <si>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</si>
  <si>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</si>
  <si>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</si>
  <si>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</si>
  <si>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</si>
  <si>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</si>
  <si>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</si>
  <si>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</si>
  <si>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</si>
  <si>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</si>
  <si>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</si>
  <si>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</si>
  <si>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</si>
  <si>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</si>
  <si>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</si>
  <si>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</si>
  <si>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</si>
  <si>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</si>
  <si>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r>
      <t>M</t>
    </r>
    <r>
      <rPr>
        <sz val="10"/>
        <rFont val="Verdana"/>
        <family val="2"/>
      </rPr>
      <t>étal</t>
    </r>
  </si>
  <si>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</si>
  <si>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</si>
  <si>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</si>
  <si>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</si>
  <si>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</si>
  <si>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</si>
  <si>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</si>
  <si>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Denominator Check</t>
  </si>
  <si>
    <t>Scope Category</t>
  </si>
  <si>
    <t>Company Level</t>
  </si>
  <si>
    <t>Selection</t>
  </si>
  <si>
    <t># of Required fields</t>
  </si>
  <si>
    <t>No Metal</t>
  </si>
  <si>
    <t>1 Metal</t>
  </si>
  <si>
    <t>2 Metal</t>
  </si>
  <si>
    <t>3 Metal</t>
  </si>
  <si>
    <t>4 Metal</t>
  </si>
  <si>
    <t>Standard Smelter Names (*)</t>
  </si>
  <si>
    <t>To begin:
Step 1. Select Metal in column B
Step 2. Select from dropdown in column C
Step 3. If dropdown selection is "Smelter Not Listed" complete columns D &amp; E
Step 4. Enter all available smelter information in columns F thru N</t>
  </si>
  <si>
    <t># of required field based on declaration scope selection</t>
  </si>
  <si>
    <t># of required field based on metal selection</t>
  </si>
  <si>
    <t>Smelter Not Listed</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</si>
  <si>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</si>
  <si>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Allgemeine Gold- und Silberscheideanstalt A.G.</t>
  </si>
  <si>
    <t>Allgemeine Gold,Allgemeine Gold- &amp; Silberscheideanstalt,Allgemeine</t>
  </si>
  <si>
    <t>AngloGold Ashanti Mineração Ltda</t>
  </si>
  <si>
    <t>AngloGold Ashanti</t>
  </si>
  <si>
    <t>Argor-Heraeus SA</t>
  </si>
  <si>
    <t>Asahi Pretec Corp</t>
  </si>
  <si>
    <t xml:space="preserve">Atasay Kuyumculuk Sanayi Ve Ticaret A.S. </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</si>
  <si>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</si>
  <si>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</si>
  <si>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</si>
  <si>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</si>
  <si>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</si>
  <si>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</si>
  <si>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</si>
  <si>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</si>
  <si>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</si>
  <si>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</si>
  <si>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</si>
  <si>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</si>
  <si>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</si>
  <si>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</si>
  <si>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</si>
  <si>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</si>
  <si>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</si>
  <si>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</si>
  <si>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</si>
  <si>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</si>
  <si>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</si>
  <si>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</si>
  <si>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</si>
  <si>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</si>
  <si>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</si>
  <si>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</si>
  <si>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</si>
  <si>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</si>
  <si>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</si>
  <si>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</si>
  <si>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</si>
  <si>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</si>
  <si>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</si>
  <si>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</si>
  <si>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</si>
  <si>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</si>
  <si>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The Refinery of Shandong Gold Mining Co., Ltd</t>
  </si>
  <si>
    <t>Shandong Gold Mining (Laizhou),China's Shangdong Gold Mining Co.,Ltd</t>
  </si>
  <si>
    <t>Shandong Zhaojin Gold &amp; Silver Refinery Co.,  Ltd</t>
  </si>
  <si>
    <t>Shyolkovsky</t>
  </si>
  <si>
    <t>Solar Applied Materials Taiwan</t>
  </si>
  <si>
    <t>Sumitomo Metal Mining Co., Ltd.</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</si>
  <si>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</si>
  <si>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</si>
  <si>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</si>
  <si>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</si>
  <si>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</si>
  <si>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</si>
  <si>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</si>
  <si>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</si>
  <si>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</si>
  <si>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</si>
  <si>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</si>
  <si>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</si>
  <si>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</si>
  <si>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</si>
  <si>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</si>
  <si>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</si>
  <si>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</si>
  <si>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</si>
  <si>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</si>
  <si>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</si>
  <si>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</si>
  <si>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</si>
  <si>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</si>
  <si>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</si>
  <si>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</si>
  <si>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</si>
  <si>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</si>
  <si>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</si>
  <si>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</si>
  <si>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</si>
  <si>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</si>
  <si>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</si>
  <si>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</si>
  <si>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</si>
  <si>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</si>
  <si>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</si>
  <si>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</si>
  <si>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</si>
  <si>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</si>
  <si>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</si>
  <si>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</si>
  <si>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</si>
  <si>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</si>
  <si>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</si>
  <si>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</si>
  <si>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</si>
  <si>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</si>
  <si>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</si>
  <si>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</si>
  <si>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</si>
  <si>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</si>
  <si>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</si>
  <si>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</si>
  <si>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</si>
  <si>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</si>
  <si>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</si>
  <si>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</si>
  <si>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</si>
  <si>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</si>
  <si>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</si>
  <si>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</si>
  <si>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</si>
  <si>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</si>
  <si>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</si>
  <si>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</si>
  <si>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</si>
  <si>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</si>
  <si>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</si>
  <si>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</si>
  <si>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</si>
  <si>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</si>
  <si>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</si>
  <si>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</si>
  <si>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</si>
  <si>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</si>
  <si>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</si>
  <si>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</si>
  <si>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</si>
  <si>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</si>
  <si>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</si>
  <si>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</si>
  <si>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</si>
  <si>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</si>
  <si>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</si>
  <si>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</si>
  <si>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</si>
  <si>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</si>
  <si>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</si>
  <si>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</si>
  <si>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</si>
  <si>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</si>
  <si>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</si>
  <si>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</si>
  <si>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</si>
  <si>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</si>
  <si>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</si>
  <si>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</si>
  <si>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</si>
  <si>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</si>
  <si>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</si>
  <si>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</si>
  <si>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</si>
  <si>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</si>
  <si>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</si>
  <si>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</si>
  <si>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</si>
  <si>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</si>
  <si>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</si>
  <si>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</si>
  <si>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</si>
  <si>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</si>
  <si>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</si>
  <si>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</si>
  <si>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</si>
  <si>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</si>
  <si>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</si>
  <si>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</si>
  <si>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</si>
  <si>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</si>
  <si>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</si>
  <si>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</si>
  <si>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</si>
  <si>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</si>
  <si>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</si>
  <si>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</si>
  <si>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</si>
  <si>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</si>
  <si>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</si>
  <si>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</si>
  <si>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</si>
  <si>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</si>
  <si>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</si>
  <si>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</si>
  <si>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</si>
  <si>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</si>
  <si>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</si>
  <si>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</si>
  <si>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</si>
  <si>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</si>
  <si>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</si>
  <si>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</si>
  <si>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</si>
  <si>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</si>
  <si>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</si>
  <si>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</si>
  <si>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</si>
  <si>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</si>
  <si>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</si>
  <si>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</si>
  <si>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</si>
  <si>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3KAZ014</t>
  </si>
  <si>
    <t>3CHN015</t>
  </si>
  <si>
    <t>4USA001</t>
  </si>
  <si>
    <t>4CHN002</t>
  </si>
  <si>
    <t>4CHN003</t>
  </si>
  <si>
    <t>4CHN004</t>
  </si>
  <si>
    <t>4USA007</t>
  </si>
  <si>
    <t>4DEU008</t>
  </si>
  <si>
    <t>4CHN009</t>
  </si>
  <si>
    <t>4CHN010</t>
  </si>
  <si>
    <t>4AUT012</t>
  </si>
  <si>
    <t>4RUS013</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</si>
  <si>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</si>
  <si>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</si>
  <si>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</si>
  <si>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</si>
  <si>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</si>
  <si>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</si>
  <si>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</si>
  <si>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</si>
  <si>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</si>
  <si>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</si>
  <si>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C: Requieres que tus proveedores directos sean libres de conflicto RDC? (*)</t>
  </si>
  <si>
    <t>D. Requieres a tus proveedores directos que se provean de fundidores validados cumpliendo con el protocolo CFS protocol usando la lista de fundidores que cumplen CFS Comp? (*)</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</si>
  <si>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</si>
  <si>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</si>
  <si>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</si>
  <si>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</si>
  <si>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</si>
  <si>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</si>
  <si>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</si>
  <si>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</si>
  <si>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</si>
  <si>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</si>
  <si>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</si>
  <si>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</si>
  <si>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r>
      <t>Pour commencer:
Etape 1: S</t>
    </r>
    <r>
      <rPr>
        <sz val="10"/>
        <color indexed="8"/>
        <rFont val="Calibri"/>
        <family val="2"/>
      </rPr>
      <t>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r>
  </si>
  <si>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</si>
  <si>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</si>
  <si>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Instructions pour compléter la partie Informations à propos de l’entreprise (lignes 7 -17)
Merci de répondre en anglais uniquement</t>
  </si>
  <si>
    <t>Alpha Metals Taiwan</t>
  </si>
  <si>
    <t>Empresa Metallurgica Vinto,Empressa Nacional de Fundiciones (ENAF),Complejo Metalurico Vinto S.A.</t>
  </si>
  <si>
    <t>Gejiu Zili Metallurgy Co.</t>
  </si>
  <si>
    <t>Guangxi Zhongshan Gold Bell Smelting Corp.Ltd</t>
  </si>
  <si>
    <t>Taboca,Paranapanema</t>
  </si>
  <si>
    <t xml:space="preserve">Funsur,Minsur Mines,Funsur Smelter,Minsur S.A. Tin Metal </t>
  </si>
  <si>
    <t>Thailand Smelting and Refining Co. Ltd.</t>
  </si>
  <si>
    <t>Yunnan Chengfeng Non-Ferrous Metals Co Ltd</t>
  </si>
  <si>
    <t>Duoluoshan Sapphire Rare Metal Co. Ltd</t>
  </si>
  <si>
    <t>Ningxia,OTIC</t>
  </si>
  <si>
    <t>AKK,Asahi Pretec Corp koube koujyo</t>
  </si>
  <si>
    <r>
      <t>1.</t>
    </r>
    <r>
      <rPr>
        <sz val="10"/>
        <rFont val="Verdana"/>
        <family val="2"/>
      </rPr>
      <t>     Merci d’inscrire ici le nom légal de votre entreprise. Merci de ne pas utiliser abréviations</t>
    </r>
  </si>
  <si>
    <t>Dowa Kogyo k.k,Dowa Metals &amp; Mining Co. Ltd,Dowa Metanix Co.Ltd,Dowa Metalmine co.ltd,Dowa Metals &amp; Mining. Kosak Seiren,Dowa Holdings Co. Ltd</t>
  </si>
  <si>
    <t>Johnson Matthey USA,JM USA,Johnson Matthey(Salt lake City)</t>
  </si>
  <si>
    <t>Instrucciones para completar las preguntas sobre informacion de la compañia ( renglones 7-17). Proveer comentarios solamente en INGLES
Provide comments in ENGLISH only</t>
  </si>
  <si>
    <t>Tantal (Ta) (*)</t>
  </si>
  <si>
    <t>Zinn (Sn) (*)</t>
  </si>
  <si>
    <t>Wolfram (W) (*)</t>
  </si>
  <si>
    <t>A. 您是否已有一个包含刚果民主共和国无冲突金属采购的政策？ (*)</t>
  </si>
  <si>
    <t>B. 这个政策是否已在贵公司网站上公开？ (*)</t>
  </si>
  <si>
    <t>C. 您是否有要求您的直接供应商是符合刚果民主共和国无冲突金属的？ (*)</t>
  </si>
  <si>
    <t>D. 您是否有要求您的直接供应商向已被验证为符合刚果民主共和国无冲突金属并且已列在“EICC的- GeSI无冲突冶炼厂“（CFS）清单中的的冶炼厂进行采购？ (*)</t>
  </si>
  <si>
    <t>E. 您是否有在采购方面实施矿产冲突职责调查的措施？ (*)</t>
  </si>
  <si>
    <t>F. 您是否有要求您的供应商填写这份矿产冲突报告模板? (*)</t>
  </si>
  <si>
    <t>G. 您是否有要求您的供应商提供冶炼厂的名字？ (*)</t>
  </si>
  <si>
    <t>H. 您是否有验证您的供应商所提交的尽职调查资料？ (*)</t>
  </si>
  <si>
    <t>I. 您的验证流程是否有包括纠正措施管理？ (*)</t>
  </si>
  <si>
    <t>J. 您是否受制于美国证券交易委员会所公布的规定？ (*)</t>
  </si>
  <si>
    <t>D.一次サプライヤーに対し、CFS適合製錬業者リストを使用してCFS規程への準拠が検証された製錬業者から調達することを求めていますか？ (*)</t>
  </si>
  <si>
    <t>D. Sua organização requer de seus fornecedores diretos que forneçam produtos de fundições lvalidadas e em conformidade com protocolo da Lista de Fundições Livres de Conflitos Lista FLC. (*)</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</si>
  <si>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</si>
  <si>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</si>
  <si>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</si>
  <si>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</si>
  <si>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</si>
  <si>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</si>
  <si>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</si>
  <si>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</si>
  <si>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</si>
  <si>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</si>
  <si>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</si>
  <si>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</si>
  <si>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</si>
  <si>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</si>
  <si>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</si>
  <si>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</si>
  <si>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</si>
  <si>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</si>
  <si>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</si>
  <si>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</si>
  <si>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</si>
  <si>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</si>
  <si>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</si>
  <si>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</si>
  <si>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</si>
  <si>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</si>
  <si>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</si>
  <si>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</si>
  <si>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</si>
  <si>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</si>
  <si>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</si>
  <si>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</si>
  <si>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</si>
  <si>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</si>
  <si>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</si>
  <si>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</si>
  <si>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</si>
  <si>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</si>
  <si>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China's Shangdong Gold Mining Co., Ltd</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</si>
  <si>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</si>
  <si>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</si>
  <si>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</si>
  <si>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</si>
  <si>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</si>
  <si>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</si>
  <si>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</si>
  <si>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</si>
  <si>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</si>
  <si>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</si>
  <si>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</si>
  <si>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</si>
  <si>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</si>
  <si>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</si>
  <si>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</si>
  <si>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</si>
  <si>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</si>
  <si>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</si>
  <si>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</si>
  <si>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</si>
  <si>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</si>
  <si>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</si>
  <si>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</si>
  <si>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</si>
  <si>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</si>
  <si>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</si>
  <si>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</si>
  <si>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</si>
  <si>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</si>
  <si>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</si>
  <si>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</si>
  <si>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</si>
  <si>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 xml:space="preserve">Minsur S.A. Tin Metal </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</si>
  <si>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</si>
  <si>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</si>
  <si>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</si>
  <si>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</si>
  <si>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</si>
  <si>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</si>
  <si>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</si>
  <si>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</si>
  <si>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</si>
  <si>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</si>
  <si>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</si>
  <si>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</si>
  <si>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</si>
  <si>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证券交易委员会  (www.sec.gov)</t>
  </si>
  <si>
    <t>Aug 29th, 2012</t>
  </si>
  <si>
    <t>Update to functionality, known smelter list, added declaration scope including product tab, and changed required fields</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</si>
  <si>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</si>
  <si>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</si>
  <si>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</si>
  <si>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1) 公司的产品制造或合同(外包的产品)制造中，下列金属对贵司产品的功能或生产是否有必要作用？如果都没有使用下列金属，你已经完成了此项调查。(*)</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</si>
  <si>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</si>
  <si>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</si>
  <si>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r>
      <t xml:space="preserve">2) Les métaux suivants (nécessaires au fonctionnement ou </t>
    </r>
    <r>
      <rPr>
        <sz val="10"/>
        <color indexed="8"/>
        <rFont val="Calibri"/>
        <family val="2"/>
      </rPr>
      <t>à</t>
    </r>
    <r>
      <rPr>
        <sz val="10"/>
        <rFont val="Verdana"/>
        <family val="2"/>
      </rPr>
      <t xml:space="preserve"> la fabrication des produits de votre entreprise) proviennent-ils de la République Démocratique du Congo ou d'un pays frontalier? (*)</t>
    </r>
  </si>
  <si>
    <t>Declaration Scope B &amp; C</t>
  </si>
  <si>
    <t>Declaration Scope D</t>
  </si>
  <si>
    <t># of required fields added if product level declaration is selected</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</si>
  <si>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</si>
  <si>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</si>
  <si>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</si>
  <si>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</si>
  <si>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</si>
  <si>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</si>
  <si>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</si>
  <si>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</si>
  <si>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</si>
  <si>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</si>
  <si>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</si>
  <si>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</si>
  <si>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</si>
  <si>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</si>
  <si>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</si>
  <si>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</si>
  <si>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</si>
  <si>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</si>
  <si>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</si>
  <si>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</si>
  <si>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</si>
  <si>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</si>
  <si>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</si>
  <si>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</si>
  <si>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1) Sind folgende Metalle notwendig für die Funktionalität oder die Herstellung der Produkte die Ihre Firma herstellt oder herstellen lässt? Falls die Antwort für alle Metalle "nein" ist, sind sie mit dem Fragebogen fertig. (*)</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</si>
  <si>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</si>
  <si>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</si>
  <si>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</si>
  <si>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</si>
  <si>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</si>
  <si>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</si>
  <si>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A. Gibt es in Ihrer Firma Vorschriften zur DRC-konflikt-freiem Einkauf? (*)</t>
  </si>
  <si>
    <t>B. Sind diese Vorschriften öffentlich auf Ihrer Firmen-Webseite verfügbar? (*)</t>
  </si>
  <si>
    <t>C. Fordern Sie "DRC-konfliktfrei"- Erklärungen von Ihren direkten Lieferanten? (*)</t>
  </si>
  <si>
    <t>D. Verpflichten Sie Ihre direkten Lieferanten dazu, von solchen Schmelzhütten einzukaufen,  die nach den Vorgaben des CFS Programms validiert worden und in der „CFS Compliant Smelter“- Liste aufgeführt sind? (*)</t>
  </si>
  <si>
    <t>E. Haben Sie Due Diligence- Maßnahmen für konfliktfreie Beschaffung eingeführt? (*)</t>
  </si>
  <si>
    <t xml:space="preserve">F. Verlangen Sie von Ihren Lieferanten, den vorliegenden Konfliktmineralien-Fragebogen auszufüllen? (*) </t>
  </si>
  <si>
    <t>G. Erfragen Sie von Ihren Lieferanten die Namen der Schmelzhütten, die diese verwenden ? (*)</t>
  </si>
  <si>
    <t>H. Überprüfen Sie die Korrektheit der Due Diligence Informationen, die Sie von ihren Lieferanten erhalten? (*)</t>
  </si>
  <si>
    <t>I. Beinhaltet Ihr Überprüfungsprozess ein Korrekturmaßnahmen-Programm? (*)</t>
  </si>
  <si>
    <t>J. Unterliegt Ihre Firma den Offenlegungspflichten der SEC im Bezug auf Konfliktmineralien? (*)</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</si>
  <si>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</si>
  <si>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</si>
  <si>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</si>
  <si>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Anleitung zum Beantworten der Fragen zu Firmeninformationen (Reihen 7 - 17)
Bitte machen sie ihre Angaben nur in ENGLISCH</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</si>
  <si>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</si>
  <si>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</si>
  <si>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</si>
  <si>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</si>
  <si>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</si>
  <si>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</si>
  <si>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</si>
  <si>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</si>
  <si>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</si>
  <si>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</si>
  <si>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</si>
  <si>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</si>
  <si>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</si>
  <si>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</si>
  <si>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</si>
  <si>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</si>
  <si>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</si>
  <si>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</si>
  <si>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</si>
  <si>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</si>
  <si>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</si>
  <si>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</si>
  <si>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</si>
  <si>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</si>
  <si>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</si>
  <si>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</si>
  <si>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</si>
  <si>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</si>
  <si>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</si>
  <si>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</si>
  <si>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</si>
  <si>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</si>
  <si>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</si>
  <si>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</si>
  <si>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</si>
  <si>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</si>
  <si>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</si>
  <si>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</si>
  <si>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</si>
  <si>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</si>
  <si>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</si>
  <si>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</si>
  <si>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</si>
  <si>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</si>
  <si>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</si>
  <si>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</si>
  <si>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</si>
  <si>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</si>
  <si>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</si>
  <si>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</si>
  <si>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</si>
  <si>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</si>
  <si>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</si>
  <si>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</si>
  <si>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</si>
  <si>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</si>
  <si>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</si>
  <si>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</si>
  <si>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</si>
  <si>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</si>
  <si>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</si>
  <si>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会社代表者名(*)：</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</si>
  <si>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</si>
  <si>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</si>
  <si>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</si>
  <si>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</si>
  <si>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</si>
  <si>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</si>
  <si>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</si>
  <si>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</si>
  <si>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</si>
  <si>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</si>
  <si>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</si>
  <si>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</si>
  <si>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</si>
  <si>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</si>
  <si>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</si>
  <si>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</si>
  <si>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</si>
  <si>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r>
      <t xml:space="preserve">Répondre aux questions suivantes 1 </t>
    </r>
    <r>
      <rPr>
        <sz val="10"/>
        <color indexed="8"/>
        <rFont val="Calibri"/>
        <family val="2"/>
      </rPr>
      <t>à</t>
    </r>
    <r>
      <rPr>
        <sz val="10"/>
        <rFont val="Verdana"/>
        <family val="2"/>
      </rPr>
      <t xml:space="preserve"> 6 en fonction du périmètre de la déclaration indiqué ci-dessus</t>
    </r>
  </si>
  <si>
    <t>Responda às seguintes perguntas de 1 - 6 com base na declaração de escopo indicada acima.</t>
  </si>
  <si>
    <r>
      <t xml:space="preserve">1) L'un des métaux suivants est-il necessaire au fonctionnement ou </t>
    </r>
    <r>
      <rPr>
        <sz val="10"/>
        <color indexed="8"/>
        <rFont val="Calibri"/>
        <family val="2"/>
      </rPr>
      <t>à</t>
    </r>
    <r>
      <rPr>
        <sz val="10"/>
        <rFont val="Verdana"/>
        <family val="2"/>
      </rPr>
      <t xml:space="preserve"> la fabrication de produits que votre entreprise manufacure ou dont elle sous-traite la fabrication? Si Non pour tous les métaux, vous en avez terminé avec cette etude (*)</t>
    </r>
  </si>
  <si>
    <t>1) Algum dos seguintes metais são necessários para a funcionalidade ou a produção dos produtos de sua organização ou das empresa(s) que fabrica(m) ou contrato(s) para a fabricação? Se "não" for a resposta para todos os metais, esta concluída esta pesquisa. (*)</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</si>
  <si>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</si>
  <si>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</si>
  <si>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</si>
  <si>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</si>
  <si>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</si>
  <si>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</si>
  <si>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</si>
  <si>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</si>
  <si>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r>
      <t>4) Avez-vous re</t>
    </r>
    <r>
      <rPr>
        <sz val="10"/>
        <color indexed="8"/>
        <rFont val="Calibri"/>
        <family val="2"/>
      </rPr>
      <t>ç</t>
    </r>
    <r>
      <rPr>
        <sz val="10"/>
        <rFont val="Verdana"/>
        <family val="2"/>
      </rPr>
      <t>u des formulaires de rapport sur les minerais de conflit complétés de la part de tous vos fournisseurs ? (*)</t>
    </r>
  </si>
  <si>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</si>
  <si>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</si>
  <si>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</si>
  <si>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r>
      <t>5) Pour chacun des métaux suivants, avez-vous identifié toutes les fonderies que votre entreprise ou vos fournisseurs utilisent afin de se fournir les produits inclus dans le périm</t>
    </r>
    <r>
      <rPr>
        <sz val="10"/>
        <color indexed="8"/>
        <rFont val="Calibri"/>
        <family val="2"/>
      </rPr>
      <t>è</t>
    </r>
    <r>
      <rPr>
        <sz val="10"/>
        <rFont val="Verdana"/>
        <family val="2"/>
      </rPr>
      <t>tre de la déclaration spécifié ci-dessus ?  (*)</t>
    </r>
  </si>
  <si>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</si>
  <si>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</si>
  <si>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r>
      <t>6) Toutes les fonderies utilisées par votre entreprise et vos fournisseurs ont-elles été validées comme étant en r</t>
    </r>
    <r>
      <rPr>
        <sz val="10"/>
        <color indexed="8"/>
        <rFont val="Calibri"/>
        <family val="2"/>
      </rPr>
      <t>è</t>
    </r>
    <r>
      <rPr>
        <sz val="10"/>
        <rFont val="Verdana"/>
        <family val="2"/>
      </rPr>
      <t>gle avec le Programme Conflict-Free Smelter et incluses dans la liste des des fonderies en règle pour les métaux suivants ? (*)</t>
    </r>
  </si>
  <si>
    <t>6)Todas as fundição (ões) utilizada (as) por sua empresa e por seu(s) fornecedores foi validada(s) como compatível, em conformidade com o Progrma de Fundições Livres de Conflitos (FLC) e listada(s)na Lista de Fundição(ões) em Conformidade para os metais mencionados? (*)</t>
  </si>
  <si>
    <t>A. 귀사는 분쟁기여광물 사용 금지를 위한 구매 관련 정책이 있습니까? (*)</t>
  </si>
  <si>
    <t>A. Avez-vous une politique en place incluant l'approvisionnement Sans Conflit en provenance de la RDC ? (*)</t>
  </si>
  <si>
    <t>A. Há uma política implementada, que inclui fornecedores livre de Conflitos da RDC? (*)</t>
  </si>
  <si>
    <t>B. 관련 정책을 홈페이지에서 확인할 수 있습니까?  (*)</t>
  </si>
  <si>
    <t>B. Cette politique est-elle publiquement disponible sur le site Internet de votre entreprise ? (*)</t>
  </si>
  <si>
    <t>B. Esta Política está disponível no site de sua organização? (*)</t>
  </si>
  <si>
    <t>C. Exigez-vous que vous fournisseurs directs soient certifiés RDC Sans Conflit ? (*)</t>
  </si>
  <si>
    <t>C. Sua organização requer de seus fornecedores diretos que os mesmos estejam em conformidade com RDC Livre de Conflitos? (*)</t>
  </si>
  <si>
    <t>D. Exigez-vous de vos fournisseurs directs qu'ils s'approvisionnent auprès de fonderies étant en règle avec le protocole CFS en utilisant la liste des fonderies du programme CFS (CFS Compliant Smelter List) ? (*)</t>
  </si>
  <si>
    <t>E.コンフリクトフリーな鉱物調達のためのデューデリジェンス対策を実施していますか？(*)</t>
  </si>
  <si>
    <t>E. Avez-vous mis en place des mesures de due diligence concernant l'approvisionnement Sans Conflit ? (*)</t>
  </si>
  <si>
    <r>
      <t xml:space="preserve">E. Sua Organização implementou medidas  </t>
    </r>
    <r>
      <rPr>
        <i/>
        <sz val="10"/>
        <color indexed="8"/>
        <rFont val="Arial"/>
        <family val="2"/>
      </rPr>
      <t>due diligence</t>
    </r>
    <r>
      <rPr>
        <sz val="10"/>
        <rFont val="Verdana"/>
        <family val="2"/>
      </rPr>
      <t xml:space="preserve"> para fornecedores Livres de Conflitos? (*)</t>
    </r>
  </si>
  <si>
    <t>F.この紛争鉱物報告テンプレートに記入することを一次サプライヤーに要請していますか？(*)</t>
  </si>
  <si>
    <t>F. Demandez-vous à vos fournisseurs de remplir ce formulaire de rapport sur les minerais de conflit ? (*)</t>
  </si>
  <si>
    <t>F. Você solicita aos seus fornecedores que preencham este Relatório acerca de Minerais de Conflito? (*)</t>
  </si>
  <si>
    <t>G.調達元の製錬業者名を明らかにするようサプライヤーに要請していますか？(*)</t>
  </si>
  <si>
    <t>G. 귀사의 협력사에게 제련소명을 제출하도록 요구하고 있습니까? (*)</t>
  </si>
  <si>
    <r>
      <t xml:space="preserve">G. Demandez-vous les noms des fonderies </t>
    </r>
    <r>
      <rPr>
        <sz val="10"/>
        <rFont val="Verdana"/>
        <family val="2"/>
      </rPr>
      <t>à vos fournisseurs ? (*)</t>
    </r>
  </si>
  <si>
    <t xml:space="preserve">G. Sua organização solicita de seus fornecedores os nomes das fundições? (*) </t>
  </si>
  <si>
    <t>H.サプライヤーからのデューデリジェンス情報を検証していますか？(*)</t>
  </si>
  <si>
    <t>H. Vérifiez-vous les informations de due diligence reçues de la part de vos fournisseurs ? (*)</t>
  </si>
  <si>
    <r>
      <t xml:space="preserve">H. Sua organização verifica a informação de </t>
    </r>
    <r>
      <rPr>
        <i/>
        <sz val="10"/>
        <color indexed="8"/>
        <rFont val="Arial"/>
        <family val="2"/>
      </rPr>
      <t>due diligence</t>
    </r>
    <r>
      <rPr>
        <sz val="10"/>
        <rFont val="Verdana"/>
        <family val="2"/>
      </rPr>
      <t xml:space="preserve"> recebida de seus fornecedores? (*)</t>
    </r>
  </si>
  <si>
    <t>I.検証プロセスには是正措置管理が含まれていますか？(*)</t>
  </si>
  <si>
    <t>I. 귀사의 광물질 정보 확인 프로세스는 개선 조치 시스템을 포함하고 있습니까? (*)</t>
  </si>
  <si>
    <t>I. Votre processus de vérification inclut-il la gestion des actions correctives ? (*)</t>
  </si>
  <si>
    <t>I. O seu processo de verificação inclui a gestão de ações corretivas? (*)</t>
  </si>
  <si>
    <t>J.御社は米国証券取引委員会の紛争鉱物開示規則の対象になっていますか？(*)</t>
  </si>
  <si>
    <t>J. Etes-vous assujetti à la règle de divulgation de la SEC concernant les minerais de conflit ? (*)</t>
  </si>
  <si>
    <t>J. Você está sujeito à regra requisito de divulgação Minerais de Conflito da SEC dos Estados Unidos da América ? (*)</t>
  </si>
  <si>
    <t>MSC,Malaysia Smelting Corporation Berhad</t>
  </si>
  <si>
    <t>Plansee Group,Plansee Holding AG</t>
  </si>
  <si>
    <t>Zhuzhou,Zhuzhou Cemented Carbide Works Import and Export Co.</t>
  </si>
  <si>
    <t>EICC Extractives website: (www.eicc.info/extractives.htm)
Schulung, Anfragevorlage, häufig gestellte Fragen, Konfliktfreie Schmelzhütten (CFS) Liste</t>
  </si>
  <si>
    <t>Spanish</t>
  </si>
  <si>
    <r>
      <t>EICC Extractives website: (www.eicc.info/extractives.htm)
Entrenamiento</t>
    </r>
    <r>
      <rPr>
        <b/>
        <i/>
        <sz val="12"/>
        <rFont val="Arial"/>
        <family val="2"/>
      </rPr>
      <t xml:space="preserve">, templete de requerimiento, Preguntas frecuentes, Lista de fundidores libres de minerales en conflicto (CFS por siglas en Ingles) </t>
    </r>
  </si>
  <si>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</si>
  <si>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</si>
  <si>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r>
      <t xml:space="preserve">     </t>
    </r>
    <r>
      <rPr>
        <b/>
        <sz val="14"/>
        <rFont val="Arial"/>
        <family val="2"/>
      </rPr>
      <t xml:space="preserve">Nota:  Celdas con (*) son campos obligatorios. </t>
    </r>
  </si>
  <si>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</si>
  <si>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</si>
  <si>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</si>
  <si>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</si>
  <si>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</si>
  <si>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</si>
  <si>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</si>
  <si>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</si>
  <si>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</si>
  <si>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</si>
  <si>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</si>
  <si>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</si>
  <si>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</si>
  <si>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</si>
  <si>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</si>
  <si>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</si>
  <si>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</si>
  <si>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</si>
  <si>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Instrucciones para completar las preguntas A. – K. (renglones 53 - 73).
Proveer respuestas en INGLES solamente.</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</si>
  <si>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</si>
  <si>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r>
      <t xml:space="preserve">A. </t>
    </r>
    <r>
      <rPr>
        <sz val="12"/>
        <rFont val="Arial"/>
        <family val="2"/>
      </rPr>
      <t xml:space="preserve"> Por favor responda “Si” o “No”.  Proveer cualquier comentario, si es necesario.</t>
    </r>
  </si>
  <si>
    <r>
      <rPr>
        <b/>
        <sz val="12"/>
        <rFont val="Arial"/>
        <family val="2"/>
      </rPr>
      <t>B.</t>
    </r>
    <r>
      <rPr>
        <sz val="12"/>
        <rFont val="Arial"/>
        <family val="2"/>
      </rPr>
      <t xml:space="preserve">  Por favor responda “Si” o “No” si esf “Si”, provea la liga web en la seccion de comentarios.</t>
    </r>
  </si>
  <si>
    <r>
      <t xml:space="preserve">C.  </t>
    </r>
    <r>
      <rPr>
        <sz val="12"/>
        <rFont val="Arial"/>
        <family val="2"/>
      </rPr>
      <t>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r>
  </si>
  <si>
    <r>
      <t xml:space="preserve">D.  </t>
    </r>
    <r>
      <rPr>
        <sz val="12"/>
        <rFont val="Arial"/>
        <family val="2"/>
      </rPr>
      <t>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r>
  </si>
  <si>
    <r>
      <t xml:space="preserve">E.  </t>
    </r>
    <r>
      <rPr>
        <sz val="12"/>
        <rFont val="Arial"/>
        <family val="2"/>
      </rPr>
      <t>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r>
  </si>
  <si>
    <r>
      <t xml:space="preserve">F. </t>
    </r>
    <r>
      <rPr>
        <sz val="12"/>
        <color indexed="8"/>
        <rFont val="Arial"/>
        <family val="2"/>
      </rPr>
      <t>Por favor responda “Si” o “No”.  Si es  “No", Por favor describa que les requiere a sus proveedores para completar (ejemplo., certificado de cumplimiento, forma de aduana, etc.).</t>
    </r>
  </si>
  <si>
    <r>
      <t xml:space="preserve">G.  </t>
    </r>
    <r>
      <rPr>
        <sz val="12"/>
        <rFont val="Arial"/>
        <family val="2"/>
      </rPr>
      <t>Por favor responda “Si” o “No”.  Provea cualquier comentario,si es necesario.</t>
    </r>
  </si>
  <si>
    <r>
      <rPr>
        <b/>
        <sz val="12"/>
        <rFont val="Arial"/>
        <family val="2"/>
      </rPr>
      <t>H.</t>
    </r>
    <r>
      <rPr>
        <sz val="12"/>
        <rFont val="Arial"/>
        <family val="2"/>
      </rPr>
      <t xml:space="preserve">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r>
  </si>
  <si>
    <r>
      <t xml:space="preserve">I.  </t>
    </r>
    <r>
      <rPr>
        <sz val="12"/>
        <rFont val="Arial"/>
        <family val="2"/>
      </rPr>
      <t>Por favor responda</t>
    </r>
    <r>
      <rPr>
        <b/>
        <sz val="12"/>
        <rFont val="Arial"/>
        <family val="2"/>
      </rPr>
      <t xml:space="preserve"> "</t>
    </r>
    <r>
      <rPr>
        <sz val="12"/>
        <rFont val="Arial"/>
        <family val="2"/>
      </rPr>
      <t>Si</t>
    </r>
    <r>
      <rPr>
        <b/>
        <sz val="12"/>
        <rFont val="Arial"/>
        <family val="2"/>
      </rPr>
      <t>"</t>
    </r>
    <r>
      <rPr>
        <sz val="12"/>
        <rFont val="Arial"/>
        <family val="2"/>
      </rPr>
      <t xml:space="preserve"> o “No”. Si es  “Si”, por favor describa como manega el procesos de acciones correctivas.</t>
    </r>
  </si>
  <si>
    <r>
      <t xml:space="preserve">J.  </t>
    </r>
    <r>
      <rPr>
        <sz val="12"/>
        <rFont val="Arial"/>
        <family val="2"/>
      </rPr>
      <t>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r>
  </si>
  <si>
    <t>Instrucciones para completar la pestaña de la lista de fundidores.
Provea las respuestas en INGLES  solamente.</t>
  </si>
  <si>
    <t>Nota:  Columnas con (*) son campos obligatorios</t>
  </si>
  <si>
    <r>
      <t xml:space="preserve">1.  Metal (*)  </t>
    </r>
    <r>
      <rPr>
        <sz val="12"/>
        <rFont val="Arial"/>
        <family val="2"/>
      </rPr>
      <t xml:space="preserve"> -   Use el menu de opciones para seleccionar el metal para el cual estas  capturando la informacion del fundidor.</t>
    </r>
  </si>
  <si>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</si>
  <si>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</si>
  <si>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</si>
  <si>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</si>
  <si>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</si>
  <si>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</si>
  <si>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</si>
  <si>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</si>
  <si>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</si>
  <si>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</si>
  <si>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</si>
  <si>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</si>
  <si>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</si>
  <si>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</si>
  <si>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</si>
  <si>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</si>
  <si>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</si>
  <si>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</si>
  <si>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</si>
  <si>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</si>
  <si>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</si>
  <si>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</si>
  <si>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</si>
  <si>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</si>
  <si>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</si>
  <si>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</si>
  <si>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</si>
  <si>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</si>
  <si>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</si>
  <si>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</si>
  <si>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</si>
  <si>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</si>
  <si>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</si>
  <si>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</si>
  <si>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</si>
  <si>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</si>
  <si>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</si>
  <si>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</si>
  <si>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</si>
  <si>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</si>
  <si>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</si>
  <si>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</si>
  <si>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</si>
  <si>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</si>
  <si>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</si>
  <si>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</si>
  <si>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</si>
  <si>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</si>
  <si>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</si>
  <si>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</si>
  <si>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</si>
  <si>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</si>
  <si>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</si>
  <si>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</si>
  <si>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</si>
  <si>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1) Algunos de los siguientes metales son necesarios para la funcionalidad o produccion de los productos de la compañia que son manufacturados o manufacturados por contratos?  Si es no para todos los metales, la encuesta esta terminada. (*)</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</si>
  <si>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</si>
  <si>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</si>
  <si>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</si>
  <si>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</si>
  <si>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</si>
  <si>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A: Tienes una politica implementada que incluya un suministro libre de conflicto RDC? (*)</t>
  </si>
  <si>
    <t>B: Esta politica esta publicamente disponible en tu website? (*)</t>
  </si>
  <si>
    <t>E. Has implementado medidas sobre el cuidado para abastecimiento libre de conflicto? (*)</t>
  </si>
  <si>
    <t>F. Pides a tus proveedores que llenen este templete de reporte para minerales conflictivos? (*)</t>
  </si>
  <si>
    <t>G. Pides  el nombre de los fundidores a tu proveedores? (*)</t>
  </si>
  <si>
    <t>H. Verificas cuidadosamente la informacion recibida de tus proveedores? (*)</t>
  </si>
  <si>
    <t>I.  Tu proceso de verificacion incluye manejo de accciones correctivas? (*)</t>
  </si>
  <si>
    <t>J. Estas sujeto a la regla de  requerimiento  de la SEC para desglose para minerales conflictivos?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</si>
  <si>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</si>
  <si>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</si>
  <si>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</si>
  <si>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</si>
  <si>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</si>
  <si>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</si>
  <si>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</si>
  <si>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</si>
  <si>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r>
      <t xml:space="preserve">Répondre </t>
    </r>
    <r>
      <rPr>
        <sz val="10"/>
        <rFont val="Verdana"/>
        <family val="2"/>
      </rPr>
      <t>à la question suivante au niveau de l'entreprise</t>
    </r>
  </si>
  <si>
    <t>Responda às seguintes perguntas em nível de Organização</t>
  </si>
  <si>
    <t>Responda a las siguientes preguntas a nivel de la compañia</t>
  </si>
  <si>
    <r>
      <t>R</t>
    </r>
    <r>
      <rPr>
        <sz val="10"/>
        <color indexed="8"/>
        <rFont val="Calibri"/>
        <family val="2"/>
      </rPr>
      <t>é</t>
    </r>
    <r>
      <rPr>
        <sz val="10"/>
        <rFont val="Verdana"/>
        <family val="2"/>
      </rPr>
      <t>ponse</t>
    </r>
  </si>
  <si>
    <t>Resposta</t>
  </si>
  <si>
    <t>Antwort</t>
  </si>
  <si>
    <t>Respuesta</t>
  </si>
  <si>
    <t>추가 내용</t>
  </si>
  <si>
    <t>Commentaires</t>
  </si>
  <si>
    <t>Comentários</t>
  </si>
  <si>
    <t>Anmerkungen/Kommentare</t>
  </si>
  <si>
    <t>Comentarios</t>
  </si>
  <si>
    <t>추가 내용 및 첨부 파일</t>
  </si>
  <si>
    <t>Commentaires et pièces jointes</t>
  </si>
  <si>
    <t>Comentários e Anexos</t>
  </si>
  <si>
    <t>Comentarios y anexos</t>
  </si>
  <si>
    <t>Tantale (Ta) (*)</t>
  </si>
  <si>
    <t>Tântalo (Ta) (*)</t>
  </si>
  <si>
    <t>Tantalio (Ta) (*)</t>
  </si>
  <si>
    <t>Étain (Sn) (*)</t>
  </si>
  <si>
    <t>Estanho (Sn) (*)</t>
  </si>
  <si>
    <t>Estaño (Sn) (*)</t>
  </si>
  <si>
    <t>Or (Au) (*)</t>
  </si>
  <si>
    <t>Ouro (Au) (*)</t>
  </si>
  <si>
    <t>Oro (Au) (*)</t>
  </si>
  <si>
    <t>Tungstênio (W) (*)</t>
  </si>
  <si>
    <t>Tusgteno (W) (*)</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</si>
  <si>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</si>
  <si>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</si>
  <si>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</si>
  <si>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</si>
  <si>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</si>
  <si>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</si>
  <si>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</si>
  <si>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</si>
  <si>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</si>
  <si>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</si>
  <si>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</si>
  <si>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</si>
  <si>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</si>
  <si>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</si>
  <si>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</si>
  <si>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r>
      <t>M</t>
    </r>
    <r>
      <rPr>
        <sz val="10"/>
        <rFont val="Verdana"/>
        <family val="2"/>
      </rPr>
      <t>étal (*)</t>
    </r>
  </si>
  <si>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</si>
  <si>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</si>
  <si>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</si>
  <si>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</si>
  <si>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</si>
  <si>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</si>
  <si>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</si>
  <si>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</si>
  <si>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</si>
  <si>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</si>
  <si>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</si>
  <si>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</si>
  <si>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</si>
  <si>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</si>
  <si>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</si>
  <si>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</si>
  <si>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</si>
  <si>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</si>
  <si>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</si>
  <si>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</si>
  <si>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</si>
  <si>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</si>
  <si>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</si>
  <si>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</si>
  <si>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</si>
  <si>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</si>
  <si>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</si>
  <si>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</si>
  <si>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</si>
  <si>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</si>
  <si>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</si>
  <si>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</si>
  <si>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</si>
  <si>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</si>
  <si>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</si>
  <si>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</si>
  <si>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</si>
  <si>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</si>
  <si>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</si>
  <si>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</si>
  <si>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</si>
  <si>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</si>
  <si>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</si>
  <si>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</si>
  <si>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</si>
  <si>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</si>
  <si>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</si>
  <si>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</si>
  <si>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</si>
  <si>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</si>
  <si>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</si>
  <si>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</si>
  <si>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</si>
  <si>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</si>
  <si>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</si>
  <si>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</si>
  <si>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御社の顧客レビュー書式を提出する前に、赤で表示されている品目について、すべての必須項目を記入してください。</t>
  </si>
  <si>
    <t>제출 전, 필수 항목이 모두 작성되었는 지 확인하기 위해, 붉게 표시된 부분을 검토하여 주십시오.</t>
  </si>
  <si>
    <r>
      <t xml:space="preserve">Afin de s'assurer que tous les champs obligatoires ont été remplis avant de soumettre le document </t>
    </r>
    <r>
      <rPr>
        <sz val="10"/>
        <rFont val="Verdana"/>
        <family val="2"/>
      </rPr>
      <t>à vos clients, merci de vérifier tous les champs surlignés en rouge</t>
    </r>
  </si>
  <si>
    <t>Para assegurar que todos os campos obrigatórios foram preenchidos antes de submeter sue relatório a seus clientes revise o formulário nas linhas que aparecerem em vermelho.</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</si>
  <si>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</si>
  <si>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r>
      <t xml:space="preserve">Dans les limites prévues par la loi, l'EICC et la GeSI renoncent </t>
    </r>
    <r>
      <rPr>
        <sz val="10"/>
        <rFont val="Calibri"/>
        <family val="2"/>
      </rPr>
      <t>à</t>
    </r>
    <r>
      <rPr>
        <sz val="10"/>
        <rFont val="Arial"/>
        <family val="2"/>
      </rPr>
      <t xml:space="preserve">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t>
    </r>
    <r>
      <rPr>
        <sz val="10"/>
        <rFont val="Calibri"/>
        <family val="2"/>
      </rPr>
      <t>ê</t>
    </r>
    <r>
      <rPr>
        <sz val="10"/>
        <rFont val="Arial"/>
        <family val="2"/>
      </rPr>
      <t>me s'ils étaient prévenus de la possibilité de tels dommages.</t>
    </r>
  </si>
  <si>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</si>
  <si>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</si>
  <si>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
b)保障，捍卫和不会追究EICC和GeSI，以及他们的相关管理人员、董事、代理、员工、志愿者、代表、承包商、继承人、指定人，因为使用名单或任何工具而导致或产生的任何及全部索赔、行动、损失、诉讼、损害、判决、征费、和处决。
</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</si>
  <si>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リスト又はツールによる、もしくはそれらを利用したことによる、いかなる請求、訴訟、損失、請願、損害、判決、押収、強制執行に関しても免責の保証を与え、擁護し、責任を免除することに同意するものとします。</t>
  </si>
  <si>
    <t xml:space="preserve">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면책하며, (b) 리스트나 툴로부터 또는 이의 사용으로부터 생기거나 발생한 모든 청구, 조치, 손실, 소송, 손해 배상, 판결, 부가금, 그리고 이행에 대해 EICC와 GeSI 뿐만 아니라 각각의 임원, 이사, 대리인, 직원, 자원 봉사자, 대표자, 계약자, 승계인, 양수인을 배상하고 방어하며, 해가 미치지 않도록 하는 데 동의합니다.  </t>
  </si>
  <si>
    <r>
      <t>Compte tenu de l'accès et de l'utilisation de la Liste et/ou d'un Outil, l'Utilisateur accepte par là présente de (a) libérer et pour toujours décharger l'EICC et la GeSI, ainsi que respectivement leur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assigne résultant ou émanant de la Liste ou d'un Outil ou de l'utilisation de ceux-ci, et (b) indemnise, défend et décharge de la responsabilité l'EICC et la GeSI,  ainsi que leurs respectifs officiers, directeurs, agents, employés, volontaires, représentants, sous-traitants, successeurs, et cède,de chacun(e) et tou(te)s les revendications, actions, pertes, proc</t>
    </r>
    <r>
      <rPr>
        <sz val="10"/>
        <rFont val="Calibri"/>
        <family val="2"/>
      </rPr>
      <t>è</t>
    </r>
    <r>
      <rPr>
        <sz val="10"/>
        <rFont val="Arial"/>
        <family val="2"/>
      </rPr>
      <t>s, dommages et interêts, jugements, impôts, et exécutions, résultant ou émanant de la Liste ou d'un Outil ou de l'utilisation de ceux-ci</t>
    </r>
  </si>
  <si>
    <t>Considerando o acesso e uso da lista e / ou qualquer ferramenta, o USUÁRIO concorda em e faz (a) liberação e para sempre DESONERA a EICC e a GeSI, bem como seus respectivos executivos, diretores, agentes, funcionários, voluntários, representantes, empreiteiros, sucessores e cessionários, de todas e quaisquer reivindicações, ações, perdas, danos, ações judiciais, sentenças, tributos e execuções, que o Usuário já teve, tem ou nunca poderá, deverá ou poderá ter, ou afirmam ter contra EICC e / ou GeSI, bem como seus respectivos funcionários, diretores, agentes, funcionários, voluntários, representantes, fornecedores, sucessores e cessionários, resultantes ou decorrentes da Lista ou qualquer Ferramenta ou utilização, e (b) indenizar, defender e manter EICC isento e GeSI, bem como seus respectivos executivos, diretores, agentes, funcionários, voluntários, representantes, fornecedores, sucessores e cessionários, de todas e quaisquer reivindicações, ações, perdas, danos, ações judiciais, sentenças, impostos, e as execuções decorrentes ou resultantes da Lista ou qualquer Ferramenta ou utilização.</t>
  </si>
  <si>
    <t xml:space="preserve">Als Gegenleistung für den Zugang und die Nutzung der Liste und / oder einem beliebigen Werkzeug willigt der Nutzer hiermit zu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(b) EICC und GeSI, sowie ihre jeweiligen Führungskräfte, Direktoren, Vertreter, Mitarbeiter, Freiwillige, Vertreter, Auftragnehmer, Nachfolgern und Bevollmächtigten, von jeglichen Ansprüchen, Klagen, Verluste, Schäden , Urteile, Abgaben und Ausführungen, die sich aus der Nutzung der Liste oder eines Werkzeugs ergeben, entschädigen, verteidigen und schadlos halten.
</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</si>
  <si>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</si>
  <si>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</si>
  <si>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</si>
  <si>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r>
      <t>Si toute ou partie des dispositions de ces Conditions Générales est invalide ou inapplicable en vertue du fdroit en vigueur, cette m</t>
    </r>
    <r>
      <rPr>
        <sz val="10"/>
        <rFont val="Calibri"/>
        <family val="2"/>
      </rPr>
      <t>ê</t>
    </r>
    <r>
      <rPr>
        <sz val="10"/>
        <rFont val="Arial"/>
        <family val="2"/>
      </rPr>
      <t>me partie sera jugée comme sans effet dans la limite de cette invalidité ou inapplicabilité uniquement, sans affecter d'aucune fa</t>
    </r>
    <r>
      <rPr>
        <sz val="10"/>
        <rFont val="Calibri"/>
        <family val="2"/>
      </rPr>
      <t>ç</t>
    </r>
    <r>
      <rPr>
        <sz val="10"/>
        <rFont val="Arial"/>
        <family val="2"/>
      </rPr>
      <t xml:space="preserve">on les parties restantes de la dite disposition ou les autres dispositions de ces Conditions Générales </t>
    </r>
  </si>
  <si>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</si>
  <si>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</si>
  <si>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</si>
  <si>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</si>
  <si>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</si>
  <si>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</si>
  <si>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</si>
  <si>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French</t>
  </si>
  <si>
    <t>Portugese</t>
  </si>
  <si>
    <t>German</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</si>
  <si>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</si>
  <si>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</si>
  <si>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</si>
  <si>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phoneticPr fontId="0" type="noConversion"/>
  </si>
  <si>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</si>
  <si>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</si>
  <si>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</si>
  <si>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</si>
  <si>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</si>
  <si>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</si>
  <si>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</si>
  <si>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</si>
  <si>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</si>
  <si>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</si>
  <si>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</si>
  <si>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</si>
  <si>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</si>
  <si>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</si>
  <si>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</si>
  <si>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</si>
  <si>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</si>
  <si>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</si>
  <si>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</si>
  <si>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</si>
  <si>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</si>
  <si>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</si>
  <si>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</si>
  <si>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</si>
  <si>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</si>
  <si>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</si>
  <si>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</si>
  <si>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</si>
  <si>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</si>
  <si>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</si>
  <si>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</si>
  <si>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</si>
  <si>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</si>
  <si>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</si>
  <si>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</si>
  <si>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</si>
  <si>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</si>
  <si>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</si>
  <si>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</si>
  <si>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</si>
  <si>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</si>
  <si>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</si>
  <si>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</si>
  <si>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</si>
  <si>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</si>
  <si>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</si>
  <si>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</si>
  <si>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</si>
  <si>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</si>
  <si>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</si>
  <si>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</si>
  <si>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</si>
  <si>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</si>
  <si>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</si>
  <si>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</si>
  <si>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</si>
  <si>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</si>
  <si>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</si>
  <si>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</si>
  <si>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</si>
  <si>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</si>
  <si>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</si>
  <si>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</si>
  <si>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</si>
  <si>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</si>
  <si>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</si>
  <si>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</si>
  <si>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</si>
  <si>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</si>
  <si>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</si>
  <si>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</si>
  <si>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</si>
  <si>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</si>
  <si>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</si>
  <si>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</si>
  <si>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</si>
  <si>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</si>
  <si>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</si>
  <si>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</si>
  <si>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</si>
  <si>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</si>
  <si>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</si>
  <si>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</si>
  <si>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</si>
  <si>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</si>
  <si>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</si>
  <si>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</si>
  <si>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</si>
  <si>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</si>
  <si>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</si>
  <si>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</si>
  <si>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phoneticPr fontId="0" type="noConversion"/>
  </si>
  <si>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</si>
  <si>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</si>
  <si>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</si>
  <si>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</si>
  <si>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</si>
  <si>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</si>
  <si>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</si>
  <si>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</si>
  <si>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</si>
  <si>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</si>
  <si>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</si>
  <si>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</si>
  <si>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</si>
  <si>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</si>
  <si>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</si>
  <si>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</si>
  <si>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</si>
  <si>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</si>
  <si>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</si>
  <si>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</si>
  <si>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</si>
  <si>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</si>
  <si>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</si>
  <si>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</si>
  <si>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</si>
  <si>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</si>
  <si>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</si>
  <si>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</si>
  <si>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</si>
  <si>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</si>
  <si>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</si>
  <si>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</si>
  <si>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</si>
  <si>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</si>
  <si>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</si>
  <si>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</si>
  <si>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</si>
  <si>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</si>
  <si>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</si>
  <si>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</si>
  <si>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Democratic Republic of Congo</t>
    <phoneticPr fontId="0" type="noConversion"/>
  </si>
  <si>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</si>
  <si>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</si>
  <si>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</si>
  <si>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</si>
  <si>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</si>
  <si>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</si>
  <si>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</si>
  <si>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</si>
  <si>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</si>
  <si>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</si>
  <si>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</si>
  <si>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</si>
  <si>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</si>
  <si>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</si>
  <si>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</si>
  <si>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</si>
  <si>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</si>
  <si>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r>
      <t xml:space="preserve">Fondre de l'or est une opération métallurgique produisant de l'or fin avec une concentration de 99,5% ou plus </t>
    </r>
    <r>
      <rPr>
        <sz val="10"/>
        <rFont val="Verdana"/>
        <family val="2"/>
      </rPr>
      <t>à partir d'or ou de matériaux comprenant de l'or en concentrations plus faibles</t>
    </r>
  </si>
  <si>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</si>
  <si>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</si>
  <si>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Organization for Economic Co-operation and Development</t>
    <phoneticPr fontId="0" type="noConversion"/>
  </si>
  <si>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</si>
  <si>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</si>
  <si>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</si>
  <si>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</si>
  <si>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</si>
  <si>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</si>
  <si>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</si>
  <si>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</si>
  <si>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</si>
  <si>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</si>
  <si>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</si>
  <si>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</si>
  <si>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</si>
  <si>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</si>
  <si>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</si>
  <si>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</si>
  <si>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</si>
  <si>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</si>
  <si>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</si>
  <si>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</si>
  <si>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</si>
  <si>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</si>
  <si>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</si>
  <si>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</si>
  <si>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</si>
  <si>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</si>
  <si>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</si>
  <si>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</si>
  <si>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</si>
  <si>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</si>
  <si>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r>
      <t>Fonderie ou affinerie d'étain se réf</t>
    </r>
    <r>
      <rPr>
        <sz val="10"/>
        <rFont val="Verdana"/>
        <family val="2"/>
      </rPr>
      <t>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r>
  </si>
  <si>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</si>
  <si>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</si>
  <si>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</si>
  <si>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</si>
  <si>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</si>
  <si>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</si>
  <si>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</si>
  <si>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</si>
  <si>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</si>
  <si>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</si>
  <si>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</si>
  <si>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</si>
  <si>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r>
      <t xml:space="preserve">Les champs obligatoires sont annotés d'une astérisque (*). Les informations récoltées dans ce rapport doivent </t>
    </r>
    <r>
      <rPr>
        <sz val="10"/>
        <rFont val="Verdana"/>
        <family val="2"/>
      </rPr>
      <t>être actualisées chaque année
Tout changement durant l'année en cours doit être fourni aux clients</t>
    </r>
  </si>
  <si>
    <t>B. Division Level [Specify in 'Description of scope']</t>
  </si>
  <si>
    <t>C. Product Category Level [Specify in 'Description of scope']</t>
  </si>
  <si>
    <t>Heimerle + Meule GmbH</t>
  </si>
  <si>
    <t>1 of 8</t>
  </si>
  <si>
    <t>Gejiu Non-ferrous</t>
  </si>
  <si>
    <t>Tin (Sn)</t>
  </si>
  <si>
    <t>Tantalum (Ta)</t>
  </si>
  <si>
    <t>Tungsten (W)</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</si>
  <si>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</si>
  <si>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</si>
  <si>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</si>
  <si>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</si>
  <si>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</si>
  <si>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</si>
  <si>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</si>
  <si>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</si>
  <si>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</si>
  <si>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</si>
  <si>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r>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t>
    </r>
    <r>
      <rPr>
        <i/>
        <sz val="10"/>
        <color indexed="8"/>
        <rFont val="Arial"/>
        <family val="2"/>
      </rPr>
      <t xml:space="preserve">due diligence </t>
    </r>
    <r>
      <rPr>
        <sz val="10"/>
        <rFont val="Verdana"/>
        <family val="2"/>
      </rPr>
      <t xml:space="preserve">para verificação de responsabilidade da origem dos materiais e suporte a conformidade à nova legislação*. Este modelo é consistente com as atividades relacionadas ao EICC e ao GeSI incluindo o Programa das Fundições Livres de Conflitos (FLC)**. </t>
    </r>
  </si>
  <si>
    <t>会社情報の記入（7～17行）に関する解説
回答は英語（半角）で入力してください。</t>
  </si>
  <si>
    <t>기업 정보 입력 안내서(8~18줄).
답변은 반드시 영어로 기입해야 합니다.</t>
  </si>
  <si>
    <t xml:space="preserve">Instruções para completar as questões relacionadas às informações da empresa (Linhas 7 - 17). 
Favor fornecer comentários somente em Inglês. </t>
  </si>
  <si>
    <t xml:space="preserve">     注：（※）のある欄は回答必須項目です。</t>
  </si>
  <si>
    <t>*표는 반드시 입력하여야 합니다.</t>
  </si>
  <si>
    <r>
      <t>Remarque : les ast</t>
    </r>
    <r>
      <rPr>
        <sz val="10"/>
        <rFont val="Verdana"/>
        <family val="2"/>
      </rPr>
      <t>érisques (*) marquent des champs obligatoires</t>
    </r>
  </si>
  <si>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</si>
  <si>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</si>
  <si>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</si>
  <si>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</si>
  <si>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</si>
  <si>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</si>
  <si>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</si>
  <si>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</si>
  <si>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</si>
  <si>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r>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t>
    </r>
    <r>
      <rPr>
        <i/>
        <sz val="10"/>
        <color indexed="8"/>
        <rFont val="Arial"/>
        <family val="2"/>
      </rPr>
      <t xml:space="preserve">link </t>
    </r>
    <r>
      <rPr>
        <sz val="10"/>
        <rFont val="Verdana"/>
        <family val="2"/>
      </rPr>
      <t xml:space="preserve">para uma planilha de  LIsta de Produtos será vizualizada. </t>
    </r>
  </si>
  <si>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</si>
  <si>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</si>
  <si>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</si>
  <si>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</si>
  <si>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</si>
  <si>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</si>
  <si>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</si>
  <si>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</si>
  <si>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</si>
  <si>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</si>
  <si>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</si>
  <si>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</si>
  <si>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このテンプレートの回答データの正確性に責任を有する、管理代表者を記入してください。</t>
  </si>
  <si>
    <t>5.  이 템플릿에 기입되는 정보의 정확도를 책임질 수 있는 담당직원 성명을 기입하십시오.</t>
  </si>
  <si>
    <r>
      <t>5.</t>
    </r>
    <r>
      <rPr>
        <sz val="7"/>
        <color indexed="8"/>
        <rFont val="Times New Roman"/>
        <family val="1"/>
      </rPr>
      <t xml:space="preserve">     </t>
    </r>
    <r>
      <rPr>
        <sz val="10"/>
        <rFont val="Verdana"/>
        <family val="2"/>
      </rPr>
      <t>Merci d’indiquer le nom d’une personne légalement autorisée par votre entreprise, responsable de l’exactitude des informations fournies dans ce rapport</t>
    </r>
  </si>
  <si>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</si>
  <si>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</si>
  <si>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</si>
  <si>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</si>
  <si>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</si>
  <si>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</si>
  <si>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</si>
  <si>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</si>
  <si>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</si>
  <si>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</si>
  <si>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</si>
  <si>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</si>
  <si>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</si>
  <si>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</si>
  <si>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</si>
  <si>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Instructions pour répondre aux six questions relatives au Devoir de Diligence (lignes 20 à 46)
Merci de répondre en anglais uniquement</t>
  </si>
  <si>
    <r>
      <t xml:space="preserve">Instruções para as 6 Questões de </t>
    </r>
    <r>
      <rPr>
        <b/>
        <i/>
        <sz val="18"/>
        <rFont val="Arial"/>
        <family val="2"/>
      </rPr>
      <t>Due Diligence</t>
    </r>
    <r>
      <rPr>
        <b/>
        <sz val="18"/>
        <rFont val="Arial"/>
        <family val="2"/>
      </rPr>
      <t xml:space="preserve"> (rows 21 - 51). 
Fornecer respostas somente em INGLÊS</t>
    </r>
  </si>
  <si>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</si>
  <si>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</si>
  <si>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</si>
  <si>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r>
      <t xml:space="preserve">Ces six questions définissent l’utilisation, l’origine et l’identification des fournisseurs pour chacun des métaux.
Les réponses </t>
    </r>
    <r>
      <rPr>
        <sz val="10"/>
        <rFont val="Verdana"/>
        <family val="2"/>
      </rPr>
      <t xml:space="preserve">à ces questions doivent représenter le 'Périmetre de la Décalration' sélectionné dans la section Informartions sur l'entreprise
</t>
    </r>
  </si>
  <si>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</si>
  <si>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</si>
  <si>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</si>
  <si>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</si>
  <si>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</si>
  <si>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</si>
  <si>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</si>
  <si>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</si>
  <si>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</si>
  <si>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r>
      <t>1. Si la réponse fournie est "Non" pour tous les métaux listés, les champs restants de cette section seront surlignés en noir, indiquant que plus aucune réponse n'est attendue et que votre déclaration est considérée comme étant compl</t>
    </r>
    <r>
      <rPr>
        <sz val="10"/>
        <rFont val="Verdana"/>
        <family val="2"/>
      </rPr>
      <t>ète</t>
    </r>
  </si>
  <si>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</si>
  <si>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</si>
  <si>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</si>
  <si>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</si>
  <si>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</si>
  <si>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</si>
  <si>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</si>
  <si>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</si>
  <si>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</si>
  <si>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</si>
  <si>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</si>
  <si>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</si>
  <si>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</si>
  <si>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</si>
  <si>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</si>
  <si>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r>
      <t xml:space="preserve">4. Para cada minério, selecione a respota apropriada que melhor represente o atual </t>
    </r>
    <r>
      <rPr>
        <i/>
        <sz val="10"/>
        <color indexed="8"/>
        <rFont val="Arial"/>
        <family val="2"/>
      </rPr>
      <t xml:space="preserve">status </t>
    </r>
    <r>
      <rPr>
        <sz val="10"/>
        <rFont val="Verdana"/>
        <family val="2"/>
      </rPr>
      <t xml:space="preserve">de sua atividade de coleta de informações acerca de seus fornecedores. </t>
    </r>
  </si>
  <si>
    <t>5.针对每种金属，选择最能代表冶炼厂识别工作状况的适当回答。</t>
  </si>
  <si>
    <t>5.各金属について、御社製錬業者による情報入手の取組みを最もよく表しているものを選択してください。</t>
  </si>
  <si>
    <t>5.  각 광물에 대해, 귀사의 제련소 정보 파악 상태를 가장 잘 나타내는 답변을 선택하시오.</t>
  </si>
  <si>
    <t>5.Pour chaque métal, sélectionner la réponse représentant le mieux le statut de vos efforts d'identification de fonderies</t>
  </si>
  <si>
    <r>
      <t xml:space="preserve">5. Para minério, selecine a resposta apropriada que melhor represente o </t>
    </r>
    <r>
      <rPr>
        <i/>
        <sz val="10"/>
        <color indexed="8"/>
        <rFont val="Arial"/>
        <family val="2"/>
      </rPr>
      <t>status</t>
    </r>
    <r>
      <rPr>
        <sz val="10"/>
        <rFont val="Verdana"/>
        <family val="2"/>
      </rPr>
      <t xml:space="preserve"> referente aos esforços realizados no sentido de identificar as fundições de sua cadeia.</t>
    </r>
  </si>
  <si>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</si>
  <si>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</si>
  <si>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</si>
  <si>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</si>
  <si>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</si>
  <si>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</si>
  <si>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</si>
  <si>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</si>
  <si>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</si>
  <si>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</si>
  <si>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</si>
  <si>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</si>
  <si>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</si>
  <si>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</si>
  <si>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问题A-J的填写说明（第53-73行）。只限英文作答</t>
  </si>
  <si>
    <t>質問A～J（53～73行）の記入に関する解説
回答は英語（半角）で入力してください。</t>
  </si>
  <si>
    <t>A ~ J 질문 답변 안내서(59~77줄).
답변은 반드시 영어로 기입해야 합니다.</t>
  </si>
  <si>
    <t>Instructions pour répondre aux questions A. - J. lignes (53-73)
Merci de répondre en anglais uniquement</t>
  </si>
  <si>
    <t>Instruções para completar Questões A. - K. (linhas 53 - 73).
Fornecer respostas somente em INGLÊS.</t>
  </si>
  <si>
    <t>Anleitung zum Ausfüllen der Fragen A. - J. (Reihen 53 - 73)
Bitte machen sie ihre Angaben nur in ENGLISCH</t>
  </si>
  <si>
    <r>
      <t>根据</t>
    </r>
    <r>
      <rPr>
        <i/>
        <sz val="12"/>
        <rFont val="Arial"/>
        <family val="2"/>
      </rPr>
      <t>OECD</t>
    </r>
    <r>
      <rPr>
        <sz val="12"/>
        <rFont val="Arial"/>
        <family val="2"/>
      </rPr>
      <t xml:space="preserve">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r>
  </si>
  <si>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</si>
  <si>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</si>
  <si>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</si>
  <si>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r>
      <t xml:space="preserve">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t>
    </r>
    <r>
      <rPr>
        <i/>
        <sz val="10"/>
        <color indexed="8"/>
        <rFont val="Arial"/>
        <family val="2"/>
      </rPr>
      <t xml:space="preserve">Due Diligence </t>
    </r>
    <r>
      <rPr>
        <sz val="10"/>
        <rFont val="Verdana"/>
        <family val="2"/>
      </rPr>
      <t xml:space="preserve">deve ser parte integrante da estratégia de empresas para fontes de recursos minerais livres de conflito. Questões A. até J. foram elaboradas para avaliar as atividades de </t>
    </r>
    <r>
      <rPr>
        <i/>
        <sz val="10"/>
        <color indexed="8"/>
        <rFont val="Arial"/>
        <family val="2"/>
      </rPr>
      <t xml:space="preserve">due diligence </t>
    </r>
    <r>
      <rPr>
        <sz val="10"/>
        <rFont val="Verdana"/>
        <family val="2"/>
      </rPr>
      <t>para garantir fontes de minérios livres de conflito. Respostas para estas questões representam o escopo completo das atividades de sua organização não se limitando à "Declaração de Escopo" selecionada anteriomente nos campos de informação de sua empresa.</t>
    </r>
  </si>
  <si>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</si>
  <si>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</si>
  <si>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</si>
  <si>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</si>
  <si>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</si>
  <si>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</si>
  <si>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</si>
  <si>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</si>
  <si>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</si>
  <si>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</si>
  <si>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</si>
  <si>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</si>
  <si>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</si>
  <si>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r>
      <t>C. Merci de répondre par "Oui" ou par "Non". Commenter si nécessaire. « Sans Conflit République Démocratique du Congo » est défini par la Réforme Dodd-Frank Wall Street et le Consumer Protection Act comme « les produits ne contenant pas de minerais de conflit finan</t>
    </r>
    <r>
      <rPr>
        <sz val="10"/>
        <rFont val="Verdana"/>
        <family val="2"/>
      </rPr>
      <t>çant oú bénéficiant directement ou indirectement à des groupes armés de la RDC ou des pays frontaliers ».</t>
    </r>
  </si>
  <si>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</si>
  <si>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</si>
  <si>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</si>
  <si>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r>
      <t>D. Merci de répondre par "Oui" ou par "Non". La liste des Conflict-Free Smelter est la liste des fonderies de minerais qui ont été validées comme étant en r</t>
    </r>
    <r>
      <rPr>
        <sz val="10"/>
        <rFont val="Verdana"/>
        <family val="2"/>
      </rPr>
      <t>ègle avec le programme CFS. Pour obtenir la liste actuelle de ces fonderies et plus d'informations sur le programme, merci de visiter www.conflictfreesmelter.org. Commenter si nécessaire</t>
    </r>
  </si>
  <si>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</si>
  <si>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</si>
  <si>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</si>
  <si>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r>
      <t xml:space="preserve">E. Por favor, responda "Sim" ou "Não". Exemplos demedidas de </t>
    </r>
    <r>
      <rPr>
        <i/>
        <sz val="10"/>
        <color indexed="8"/>
        <rFont val="Arial"/>
        <family val="2"/>
      </rPr>
      <t>due diligence</t>
    </r>
    <r>
      <rPr>
        <sz val="10"/>
        <rFont val="Verdana"/>
        <family val="2"/>
      </rPr>
      <t xml:space="preserv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t>
    </r>
    <r>
      <rPr>
        <i/>
        <sz val="10"/>
        <color indexed="8"/>
        <rFont val="Arial"/>
        <family val="2"/>
      </rPr>
      <t xml:space="preserve">due diligence </t>
    </r>
    <r>
      <rPr>
        <sz val="10"/>
        <rFont val="Verdana"/>
        <family val="2"/>
      </rPr>
      <t xml:space="preserve">estão consistentes com as orientações incluidas no Guia da OCDE internacionalmente reconhecido. </t>
    </r>
  </si>
  <si>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</si>
  <si>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</si>
  <si>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</si>
  <si>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</si>
  <si>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</si>
  <si>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</si>
  <si>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</si>
  <si>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</si>
  <si>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</si>
  <si>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</si>
  <si>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</si>
  <si>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</si>
  <si>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</si>
  <si>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</si>
  <si>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</si>
  <si>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</si>
  <si>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</si>
  <si>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</si>
  <si>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</si>
  <si>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</si>
  <si>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</si>
  <si>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</si>
  <si>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</si>
  <si>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</si>
  <si>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</si>
  <si>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</si>
  <si>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</si>
  <si>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</si>
  <si>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</si>
  <si>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</si>
  <si>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</si>
  <si>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</si>
  <si>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</si>
  <si>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</si>
  <si>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</si>
  <si>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</si>
  <si>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</si>
  <si>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</si>
  <si>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</si>
  <si>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</si>
  <si>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</si>
  <si>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</si>
  <si>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</si>
  <si>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</si>
  <si>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r>
      <t xml:space="preserve">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t>
    </r>
    <r>
      <rPr>
        <sz val="10"/>
        <rFont val="Calibri"/>
        <family val="2"/>
      </rPr>
      <t>à</t>
    </r>
    <r>
      <rPr>
        <sz val="10"/>
        <rFont val="Arial"/>
        <family val="2"/>
      </rPr>
      <t xml:space="preserve"> la seule et absolue discrétion de l'Utilisateur.</t>
    </r>
  </si>
  <si>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</si>
  <si>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</si>
  <si>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</si>
  <si>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</si>
  <si>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r>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t>
    </r>
    <r>
      <rPr>
        <sz val="10"/>
        <rFont val="Calibri"/>
        <family val="2"/>
      </rPr>
      <t>ç</t>
    </r>
    <r>
      <rPr>
        <sz val="10"/>
        <rFont val="Arial"/>
        <family val="2"/>
      </rPr>
      <t>on, de qualité, de titre, de mod</t>
    </r>
    <r>
      <rPr>
        <sz val="10"/>
        <rFont val="Calibri"/>
        <family val="2"/>
      </rPr>
      <t>è</t>
    </r>
    <r>
      <rPr>
        <sz val="10"/>
        <rFont val="Arial"/>
        <family val="2"/>
      </rPr>
      <t>le pour un but particulier, de complétude et d'exactitude.</t>
    </r>
  </si>
  <si>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</si>
  <si>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</si>
  <si>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</si>
  <si>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</si>
  <si>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Comments and Attachments</t>
  </si>
  <si>
    <t>Address:</t>
  </si>
  <si>
    <t>Comments</t>
  </si>
  <si>
    <t>Answer</t>
  </si>
  <si>
    <t>Company Name (*):</t>
  </si>
  <si>
    <t>Company Unique Identifier:</t>
  </si>
  <si>
    <t>Representative Email (*):</t>
  </si>
  <si>
    <t>Tantalum (Ta) (*)</t>
  </si>
  <si>
    <t>Tin (Sn) (*)</t>
  </si>
  <si>
    <t>Gold (Au) (*)</t>
  </si>
  <si>
    <t>Tungsten (W) (*)</t>
  </si>
  <si>
    <t>Metal (*)</t>
  </si>
  <si>
    <t>Proposed next steps, if applicable</t>
  </si>
  <si>
    <t>Conflict Minerals Reporting Template</t>
  </si>
  <si>
    <t>A. Do you have a policy in place that includes DRC conflict-free sourcing? (*)</t>
  </si>
  <si>
    <t>B. Is this policy publicly available on your website? (*)</t>
  </si>
  <si>
    <t>C. Do you require your direct suppliers to be DRC conflict-free?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</si>
  <si>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</si>
  <si>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</si>
  <si>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</si>
  <si>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</si>
  <si>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</si>
  <si>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</si>
  <si>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</si>
  <si>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</si>
  <si>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</si>
  <si>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</si>
  <si>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</si>
  <si>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</si>
  <si>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</si>
  <si>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</si>
  <si>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</si>
  <si>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</si>
  <si>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</si>
  <si>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</si>
  <si>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</si>
  <si>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</si>
  <si>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</si>
  <si>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</si>
  <si>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</si>
  <si>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</si>
  <si>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</si>
  <si>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 xml:space="preserve">Jiangxi Copper Company Limited </t>
  </si>
  <si>
    <t>Kyrgyzaltyn JSC</t>
  </si>
  <si>
    <t xml:space="preserve">The Great Wall Gold and Silver Refinery of China </t>
  </si>
  <si>
    <t xml:space="preserve">Zhongyuan Gold Smelter of Zhongjin Gold Corporation </t>
  </si>
  <si>
    <t>Zijin Mining Group Co. Ltd</t>
  </si>
  <si>
    <t>Exotech</t>
  </si>
  <si>
    <t>F&amp;X</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</si>
  <si>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</si>
  <si>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</si>
  <si>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</si>
  <si>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</si>
  <si>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</si>
  <si>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</si>
  <si>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</si>
  <si>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</si>
  <si>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</si>
  <si>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</si>
  <si>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</si>
  <si>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</si>
  <si>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</si>
  <si>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</si>
  <si>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DOCUMENT NUMBER</t>
  </si>
  <si>
    <t>REVISION</t>
  </si>
  <si>
    <t>SHEET</t>
  </si>
  <si>
    <t>REVISION HISTORY</t>
  </si>
  <si>
    <t>DESCRIPTION OF CHANGE</t>
  </si>
  <si>
    <t>ORIGINATOR</t>
  </si>
  <si>
    <t>RELEASE DATE</t>
  </si>
  <si>
    <t>New Release</t>
  </si>
  <si>
    <t>Introduction</t>
  </si>
  <si>
    <r>
      <t xml:space="preserve">A. </t>
    </r>
    <r>
      <rPr>
        <sz val="12"/>
        <rFont val="Arial"/>
        <family val="2"/>
      </rPr>
      <t xml:space="preserve"> Please answer “Yes” or “No”.  Provide any comments, if necessary. </t>
    </r>
  </si>
  <si>
    <t>Note:  Columns with (*) are mandatory fields</t>
  </si>
  <si>
    <t>EICC</t>
  </si>
  <si>
    <t xml:space="preserve">GeSI </t>
  </si>
  <si>
    <t>SEC</t>
  </si>
  <si>
    <t>OECD</t>
  </si>
  <si>
    <t>Conflict Mineral</t>
  </si>
  <si>
    <t>DRC</t>
  </si>
  <si>
    <t>Adjoining Country</t>
  </si>
  <si>
    <t>DRC Conflict-Free</t>
  </si>
  <si>
    <r>
      <t xml:space="preserve">1.  Metal (*)  </t>
    </r>
    <r>
      <rPr>
        <sz val="12"/>
        <rFont val="Arial"/>
        <family val="2"/>
      </rPr>
      <t xml:space="preserve"> -   Use the pull down menu to select the metal for which you are entering smelter information.</t>
    </r>
  </si>
  <si>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</si>
  <si>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</si>
  <si>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</si>
  <si>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</si>
  <si>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</si>
  <si>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r>
      <t xml:space="preserve">     </t>
    </r>
    <r>
      <rPr>
        <b/>
        <sz val="14"/>
        <rFont val="Arial"/>
        <family val="2"/>
      </rPr>
      <t xml:space="preserve">Note:  Entries with (*) are mandatory fields. </t>
    </r>
  </si>
  <si>
    <r>
      <t xml:space="preserve">EICC Extractives website: (www.eicc.info/extractives.htm)
</t>
    </r>
    <r>
      <rPr>
        <b/>
        <i/>
        <sz val="12"/>
        <rFont val="Arial"/>
        <family val="2"/>
      </rPr>
      <t>training, request template, FAQs, Conflict-Free Smelters (CFS) list</t>
    </r>
  </si>
  <si>
    <t>English</t>
  </si>
  <si>
    <t>Chinese</t>
  </si>
  <si>
    <t>Japanese</t>
  </si>
  <si>
    <t>Korean</t>
  </si>
  <si>
    <t>星号（*）是代表强制性填写栏位，必须完成。这份文件内的信息应每年更新。年度周期内的任何变更，应当提供相关的信息给您的客户。</t>
  </si>
  <si>
    <t>Representative Title:</t>
  </si>
  <si>
    <t>Date of Completion (*):</t>
  </si>
  <si>
    <t>无冲突金属报告模板</t>
  </si>
  <si>
    <t>Constants</t>
  </si>
  <si>
    <t>回答</t>
  </si>
  <si>
    <t>注释</t>
  </si>
  <si>
    <t>钽(*)</t>
  </si>
  <si>
    <t>锡 (*)</t>
  </si>
  <si>
    <t>金(*)</t>
  </si>
  <si>
    <t>钨 (*)</t>
  </si>
  <si>
    <t>注释和附件</t>
  </si>
  <si>
    <t>Yes (3rd party audit)</t>
  </si>
  <si>
    <t>Yes (documentation review only)</t>
  </si>
  <si>
    <t>Yes (internal audit)</t>
  </si>
  <si>
    <t>Yes (all methods apply)</t>
  </si>
  <si>
    <t>金属 (*)</t>
  </si>
  <si>
    <t>建议后续的步骤，如适用</t>
  </si>
  <si>
    <t>公司资料填写说明（第7 -17行）。只限英文作答</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</si>
  <si>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</si>
  <si>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</si>
  <si>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</si>
  <si>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</si>
  <si>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</si>
  <si>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</si>
  <si>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</si>
  <si>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</si>
  <si>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</si>
  <si>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</si>
  <si>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</si>
  <si>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</si>
  <si>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</si>
  <si>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</si>
  <si>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</si>
  <si>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</si>
  <si>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</si>
  <si>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</si>
  <si>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</si>
  <si>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</si>
  <si>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탄탈륨 (Ta) (*)</t>
  </si>
  <si>
    <t>주석 (Sn) (*)</t>
  </si>
  <si>
    <t>금 (Au) (*)</t>
  </si>
  <si>
    <t>텅스텐 (W) (*)</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</si>
  <si>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</si>
  <si>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</si>
  <si>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</si>
  <si>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C. 귀사의 1차 협력사에게 분쟁기여 광물 사용 금지를 요구하고 있습니까? (*)</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</si>
  <si>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</si>
  <si>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</si>
  <si>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</si>
  <si>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</si>
  <si>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</si>
  <si>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</si>
  <si>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</si>
  <si>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</si>
  <si>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</si>
  <si>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</si>
  <si>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</si>
  <si>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答え</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</si>
  <si>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</si>
  <si>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</si>
  <si>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</si>
  <si>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</si>
  <si>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</si>
  <si>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</si>
  <si>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代表者の役職:</t>
  </si>
  <si>
    <t>代表者の電子メール(*):</t>
  </si>
  <si>
    <t>代表者の電話番号:</t>
  </si>
  <si>
    <t xml:space="preserve"> 記入日(*):</t>
  </si>
  <si>
    <t>１）以下の金属は御社が製造又は製造契約を締結している製品の機能性又は生産に必要ですか？すべての金属が「いいえ」の場合、この調査はここで終了となります。(*)</t>
  </si>
  <si>
    <t>B.その方針は御社のホームページで閲覧できますか？(*)</t>
  </si>
  <si>
    <t>C.一次サプライヤーに対してDRCコンフリクトフリーであることを要請していますか？(*)</t>
  </si>
  <si>
    <t>タンタル（Ta）(*)</t>
  </si>
  <si>
    <t>錫（Sn）(*)</t>
  </si>
  <si>
    <t>金（Au）(*)</t>
  </si>
  <si>
    <t>タングステン（W）(*)</t>
  </si>
  <si>
    <t>製錬施設連絡先担当者名</t>
  </si>
  <si>
    <t>製錬施設連絡先電子メール</t>
  </si>
  <si>
    <t>次に取る対策（該当する場合のみ回答）</t>
  </si>
  <si>
    <t>金属</t>
  </si>
  <si>
    <t>금속</t>
  </si>
  <si>
    <t>Jared Connors, Intel</t>
  </si>
  <si>
    <t>1) 다음의 금속 중 귀사가 제조하는 제품이거나 제조하기로 계약한 제품의 생산과 기능에 필요한 금속이 있습니까? "아니오"라고 답한 경우, 이 설문은 완료됩니다. (*)</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</si>
  <si>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</si>
  <si>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</si>
  <si>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</si>
  <si>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</si>
  <si>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</si>
  <si>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</si>
  <si>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</si>
  <si>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</si>
  <si>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製錬業者
Smelter</t>
  </si>
  <si>
    <t>Tantalum Smelter</t>
  </si>
  <si>
    <t>タンタル製錬業者
Tantalum Smelter</t>
  </si>
  <si>
    <t>Tin Smelter</t>
  </si>
  <si>
    <t>錫製錬業者
Tin Smelter</t>
  </si>
  <si>
    <t>タングステン製錬業者
Tungsten Smelter</t>
  </si>
  <si>
    <t>A.DRCコンフリクトフリー調達に関する方針を定めていますか？(*)</t>
  </si>
  <si>
    <t>July 19th, 2011</t>
  </si>
  <si>
    <t>Smelter Facility Location: Street address</t>
  </si>
  <si>
    <t>Smelter Facility Location: City</t>
  </si>
  <si>
    <t>Completion %</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</si>
  <si>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</si>
  <si>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</si>
  <si>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</si>
  <si>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</si>
  <si>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</si>
  <si>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</si>
  <si>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</si>
  <si>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</si>
  <si>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</si>
  <si>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</si>
  <si>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</si>
  <si>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</si>
  <si>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</si>
  <si>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</si>
  <si>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</si>
  <si>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</si>
  <si>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</si>
  <si>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</si>
  <si>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</si>
  <si>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</si>
  <si>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</si>
  <si>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</si>
  <si>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</si>
  <si>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</si>
  <si>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</si>
  <si>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</si>
  <si>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</si>
  <si>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</si>
  <si>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</si>
  <si>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</si>
  <si>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</si>
  <si>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</si>
  <si>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</si>
  <si>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</si>
  <si>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</si>
  <si>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</si>
  <si>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</si>
  <si>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</si>
  <si>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</si>
  <si>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</si>
  <si>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</si>
  <si>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</si>
  <si>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</si>
  <si>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</si>
  <si>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</si>
  <si>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</si>
  <si>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</si>
  <si>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</si>
  <si>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</si>
  <si>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</si>
  <si>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</si>
  <si>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</si>
  <si>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</si>
  <si>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</si>
  <si>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</si>
  <si>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</si>
  <si>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</si>
  <si>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</si>
  <si>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</si>
  <si>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</si>
  <si>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</si>
  <si>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</si>
  <si>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</si>
  <si>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</si>
  <si>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</si>
  <si>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</si>
  <si>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</si>
  <si>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</si>
  <si>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</si>
  <si>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</si>
  <si>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</si>
  <si>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</si>
  <si>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</si>
  <si>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</si>
  <si>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</si>
  <si>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</si>
  <si>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</si>
  <si>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</si>
  <si>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</si>
  <si>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</si>
  <si>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</si>
  <si>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</si>
  <si>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</si>
  <si>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</si>
  <si>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</si>
  <si>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</si>
  <si>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</si>
  <si>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</si>
  <si>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</si>
  <si>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</si>
  <si>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</si>
  <si>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</si>
  <si>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</si>
  <si>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</si>
  <si>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</si>
  <si>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</si>
  <si>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</si>
  <si>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</si>
  <si>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</si>
  <si>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</si>
  <si>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</si>
  <si>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</si>
  <si>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</si>
  <si>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</si>
  <si>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</si>
  <si>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</si>
  <si>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</si>
  <si>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</si>
  <si>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</si>
  <si>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</si>
  <si>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</si>
  <si>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</si>
  <si>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</si>
  <si>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</si>
  <si>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</si>
  <si>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</si>
  <si>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</si>
  <si>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</si>
  <si>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</si>
  <si>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</si>
  <si>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</si>
  <si>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</si>
  <si>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</si>
  <si>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</si>
  <si>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</si>
  <si>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</si>
  <si>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</si>
  <si>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</si>
  <si>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</si>
  <si>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</si>
  <si>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</si>
  <si>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</si>
  <si>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</si>
  <si>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</si>
  <si>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</si>
  <si>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</si>
  <si>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</si>
  <si>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</si>
  <si>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</si>
  <si>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</si>
  <si>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</si>
  <si>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</si>
  <si>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</si>
  <si>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</si>
  <si>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</si>
  <si>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</si>
  <si>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</si>
  <si>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</si>
  <si>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</si>
  <si>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</si>
  <si>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</si>
  <si>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</si>
  <si>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</si>
  <si>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</si>
  <si>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</si>
  <si>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</si>
  <si>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</si>
  <si>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</si>
  <si>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</si>
  <si>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</si>
  <si>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</si>
  <si>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</si>
  <si>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</si>
  <si>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</si>
  <si>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</si>
  <si>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</si>
  <si>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</si>
  <si>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</si>
  <si>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</si>
  <si>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</si>
  <si>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</si>
  <si>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</si>
  <si>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</si>
  <si>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</si>
  <si>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</si>
  <si>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</si>
  <si>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</si>
  <si>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</si>
  <si>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</si>
  <si>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</si>
  <si>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</si>
  <si>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</si>
  <si>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</si>
  <si>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</si>
  <si>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</si>
  <si>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</si>
  <si>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</si>
  <si>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</si>
  <si>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</si>
  <si>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</si>
  <si>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</si>
  <si>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</si>
  <si>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</si>
  <si>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</si>
  <si>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</si>
  <si>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</si>
  <si>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</si>
  <si>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</si>
  <si>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</si>
  <si>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</si>
  <si>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</si>
  <si>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</si>
  <si>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</si>
  <si>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</si>
  <si>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</si>
  <si>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</si>
  <si>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</si>
  <si>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</si>
  <si>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</si>
  <si>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</si>
  <si>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</si>
  <si>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</si>
  <si>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</si>
  <si>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</si>
  <si>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</si>
  <si>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</si>
  <si>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</si>
  <si>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</si>
  <si>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</si>
  <si>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</si>
  <si>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</si>
  <si>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</si>
  <si>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</si>
  <si>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</si>
  <si>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</si>
  <si>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</si>
  <si>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</si>
  <si>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</si>
  <si>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</si>
  <si>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</si>
  <si>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</si>
  <si>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</si>
  <si>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</si>
  <si>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</si>
  <si>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</si>
  <si>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</si>
  <si>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</si>
  <si>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</si>
  <si>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</si>
  <si>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</si>
  <si>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</si>
  <si>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</si>
  <si>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</si>
  <si>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</si>
  <si>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</si>
  <si>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</si>
  <si>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</si>
  <si>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</si>
  <si>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</si>
  <si>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</si>
  <si>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</si>
  <si>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</si>
  <si>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</si>
  <si>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</si>
  <si>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</si>
  <si>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</si>
  <si>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</si>
  <si>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</si>
  <si>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</si>
  <si>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</si>
  <si>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</si>
  <si>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</si>
  <si>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</si>
  <si>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</si>
  <si>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</si>
  <si>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</si>
  <si>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</si>
  <si>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</si>
  <si>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</si>
  <si>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</si>
  <si>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</si>
  <si>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</si>
  <si>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</si>
  <si>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</si>
  <si>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</si>
  <si>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</si>
  <si>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</si>
  <si>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</si>
  <si>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</si>
  <si>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</si>
  <si>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</si>
  <si>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</si>
  <si>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</si>
  <si>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</si>
  <si>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</si>
  <si>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</si>
  <si>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</si>
  <si>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</si>
  <si>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</si>
  <si>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</si>
  <si>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</si>
  <si>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</si>
  <si>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</si>
  <si>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</si>
  <si>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</si>
  <si>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</si>
  <si>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</si>
  <si>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</si>
  <si>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</si>
  <si>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</si>
  <si>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</si>
  <si>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</si>
  <si>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</si>
  <si>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</si>
  <si>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</si>
  <si>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</si>
  <si>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</si>
  <si>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</si>
  <si>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</si>
  <si>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</si>
  <si>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</si>
  <si>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</si>
  <si>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</si>
  <si>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</si>
  <si>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</si>
  <si>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</si>
  <si>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</si>
  <si>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</si>
  <si>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</si>
  <si>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</si>
  <si>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</si>
  <si>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</si>
  <si>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</si>
  <si>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</si>
  <si>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</si>
  <si>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</si>
  <si>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</si>
  <si>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</si>
  <si>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</si>
  <si>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</si>
  <si>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</si>
  <si>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</si>
  <si>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</si>
  <si>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</si>
  <si>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</si>
  <si>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</si>
  <si>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</si>
  <si>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</si>
  <si>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</si>
  <si>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</si>
  <si>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</si>
  <si>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</si>
  <si>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</si>
  <si>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</si>
  <si>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</si>
  <si>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</si>
  <si>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</si>
  <si>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</si>
  <si>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</si>
  <si>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</si>
  <si>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</si>
  <si>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</si>
  <si>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</si>
  <si>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</si>
  <si>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</si>
  <si>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</si>
  <si>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</si>
  <si>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</si>
  <si>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</si>
  <si>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</si>
  <si>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</si>
  <si>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</si>
  <si>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</si>
  <si>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</si>
  <si>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</si>
  <si>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</si>
  <si>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</si>
  <si>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</si>
  <si>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</si>
  <si>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</si>
  <si>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</si>
  <si>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</si>
  <si>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</si>
  <si>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</si>
  <si>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</si>
  <si>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</si>
  <si>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</si>
  <si>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</si>
  <si>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</si>
  <si>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</si>
  <si>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</si>
  <si>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</si>
  <si>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</si>
  <si>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</si>
  <si>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</si>
  <si>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</si>
  <si>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</si>
  <si>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</si>
  <si>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</si>
  <si>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</si>
  <si>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</si>
  <si>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</si>
  <si>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</si>
  <si>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</si>
  <si>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</si>
  <si>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</si>
  <si>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</si>
  <si>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</si>
  <si>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</si>
  <si>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</si>
  <si>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</si>
  <si>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</si>
  <si>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</si>
  <si>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</si>
  <si>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</si>
  <si>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</si>
  <si>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</si>
  <si>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</si>
  <si>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</si>
  <si>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</si>
  <si>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</si>
  <si>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</si>
  <si>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</si>
  <si>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</si>
  <si>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</si>
  <si>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</si>
  <si>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</si>
  <si>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</si>
  <si>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</si>
  <si>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</si>
  <si>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</si>
  <si>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</si>
  <si>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</si>
  <si>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</si>
  <si>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</si>
  <si>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</si>
  <si>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</si>
  <si>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</si>
  <si>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</si>
  <si>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</si>
  <si>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</si>
  <si>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</si>
  <si>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</si>
  <si>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</si>
  <si>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</si>
  <si>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</si>
  <si>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</si>
  <si>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</si>
  <si>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</si>
  <si>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</si>
  <si>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</si>
  <si>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</si>
  <si>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</si>
  <si>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</si>
  <si>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</si>
  <si>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</si>
  <si>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</si>
  <si>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</si>
  <si>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</si>
  <si>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</si>
  <si>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</si>
  <si>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</si>
  <si>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</si>
  <si>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</si>
  <si>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</si>
  <si>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</si>
  <si>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</si>
  <si>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</si>
  <si>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</si>
  <si>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</si>
  <si>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</si>
  <si>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</si>
  <si>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</si>
  <si>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</si>
  <si>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</si>
  <si>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</si>
  <si>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</si>
  <si>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</si>
  <si>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</si>
  <si>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</si>
  <si>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</si>
  <si>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</si>
  <si>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</si>
  <si>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</si>
  <si>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</si>
  <si>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</si>
  <si>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</si>
  <si>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</si>
  <si>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</si>
  <si>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</si>
  <si>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</si>
  <si>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</si>
  <si>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</si>
  <si>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</si>
  <si>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</si>
  <si>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This column contains formulas and should be hidden</t>
  </si>
  <si>
    <t>Notes</t>
  </si>
  <si>
    <t>Hyperlink to source</t>
  </si>
  <si>
    <t>To ensure all required fields have been populated before submitting to your customers review form for any line items highlighted in red</t>
  </si>
  <si>
    <t>Click here to return to Declaration tab</t>
  </si>
  <si>
    <t>required fields count</t>
  </si>
  <si>
    <t>Total required fields completed</t>
  </si>
  <si>
    <t>Total number of required fields</t>
  </si>
  <si>
    <t>Required fields remaining to be completed</t>
  </si>
  <si>
    <t>hide this column</t>
  </si>
  <si>
    <t>Smelter Facility Location: State / Province</t>
  </si>
  <si>
    <t>Authorized Company Representative Name (*):</t>
  </si>
  <si>
    <t>A. Company Level</t>
  </si>
  <si>
    <t xml:space="preserve">
</t>
  </si>
  <si>
    <t>Gold Refiner (smelter)</t>
  </si>
  <si>
    <t>A gold refiner is a metallurgical operation that produces fine gold with a concentration of 99.5% or higher from gold and gold-bearing materials with lower concentrations.</t>
  </si>
  <si>
    <t>G. Do you request smelter names from your suppliers? (*)</t>
  </si>
  <si>
    <t>I. Does your verification process include corrective action management? (*)</t>
  </si>
  <si>
    <t>J. Are you subject to the SEC Conflict Minerals disclosure requirement rule? (*)</t>
  </si>
  <si>
    <t>Smelter ID</t>
  </si>
  <si>
    <t>Smelter Facility Location: Country</t>
  </si>
  <si>
    <t>Standard Smelter Names</t>
  </si>
  <si>
    <t>Known alias</t>
  </si>
  <si>
    <t>Gannon &amp; Scott</t>
  </si>
  <si>
    <t>HC Starck</t>
  </si>
  <si>
    <t>Ulba</t>
  </si>
  <si>
    <t>Ganzhou Nonferrous Metals Smelting Co Ltd.</t>
  </si>
  <si>
    <t>HC Starck GmbH</t>
  </si>
  <si>
    <t>Wolfram Bergbau und Hütten AG</t>
  </si>
  <si>
    <t>Wolfram Company CJSC</t>
  </si>
  <si>
    <t>Chongyi Zhangyuan Tungsten Co Ltd</t>
  </si>
  <si>
    <t>CV JusTindo</t>
  </si>
  <si>
    <t>Jiangxi Nanshan</t>
  </si>
  <si>
    <t>Novosibirsk</t>
  </si>
  <si>
    <t xml:space="preserve">PT Bangka Kudai Tin </t>
  </si>
  <si>
    <t xml:space="preserve">PT Bangka Putra Karya </t>
  </si>
  <si>
    <t xml:space="preserve">PT Bangka Timah Utama Sejahtera </t>
  </si>
  <si>
    <t xml:space="preserve">PT Belitung Industri Sejahtera </t>
  </si>
  <si>
    <t xml:space="preserve">PT BilliTin Makmur Lestari </t>
  </si>
  <si>
    <t xml:space="preserve">PT Bukit Timah </t>
  </si>
  <si>
    <t xml:space="preserve">PT Eunindo Usaha Mandiri </t>
  </si>
  <si>
    <t>PT Fang Di MulTindo</t>
  </si>
  <si>
    <t xml:space="preserve">PT HP Metals Indonesia </t>
  </si>
  <si>
    <t xml:space="preserve">PT Koba Tin </t>
  </si>
  <si>
    <t xml:space="preserve">PT Mitra Stania Prima </t>
  </si>
  <si>
    <t xml:space="preserve">PT Refined Banka Tin </t>
  </si>
  <si>
    <t xml:space="preserve">PT Sariwiguna Binasentosa </t>
  </si>
  <si>
    <t xml:space="preserve">PT Stanindo Inti Perkasa                        </t>
  </si>
  <si>
    <t xml:space="preserve">PT Sumber Jaya Indah </t>
  </si>
  <si>
    <t xml:space="preserve">PT Timah Nusantara </t>
  </si>
  <si>
    <t xml:space="preserve">PT Tinindo Inter Nusa </t>
  </si>
  <si>
    <t xml:space="preserve">PT Yinchendo Mining Industry </t>
  </si>
  <si>
    <t>Allgemeine Gold- &amp; Silberscheideanstalt</t>
  </si>
  <si>
    <t xml:space="preserve">Almalyk Mining and Metallurgical Complex (AMMC) </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</si>
  <si>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</si>
  <si>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</si>
  <si>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</si>
  <si>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</si>
  <si>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</si>
  <si>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</si>
  <si>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</si>
  <si>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</si>
  <si>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</si>
  <si>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</si>
  <si>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</si>
  <si>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</si>
  <si>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 xml:space="preserve">L' azurde Company For Jewelry </t>
  </si>
  <si>
    <t>LS Nikko</t>
  </si>
  <si>
    <t>Materion</t>
  </si>
  <si>
    <t>Moscow Special Alloys Processing Plant</t>
  </si>
  <si>
    <t>Navoi</t>
  </si>
  <si>
    <t>Ohio Precious Metals</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</si>
  <si>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</si>
  <si>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</si>
  <si>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</si>
  <si>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</si>
  <si>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</si>
  <si>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</si>
  <si>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</si>
  <si>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</si>
  <si>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</si>
  <si>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</si>
  <si>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</si>
  <si>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Tokuriki Honten Co., Ltd</t>
  </si>
  <si>
    <t>Toyo Smelter &amp; Refinery</t>
  </si>
  <si>
    <t>Umicore SA</t>
  </si>
  <si>
    <t>VALCAMBI</t>
  </si>
  <si>
    <t>Xstrata</t>
  </si>
  <si>
    <t>D. Product Level</t>
  </si>
  <si>
    <t>Link to "CFS Compliant Smelter List"</t>
  </si>
  <si>
    <t>F. Do you request your suppliers to fill out this Conflict Minerals Reporting Template? (*)</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</si>
  <si>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</si>
  <si>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</si>
  <si>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</si>
  <si>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</si>
  <si>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</si>
  <si>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</si>
  <si>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</si>
  <si>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D. Do you require your direct suppliers to source from smelters validated as compliant to a CFS protocol using the CFS Compliant Smelter List? (*)</t>
  </si>
  <si>
    <t>E. Have you implemented due diligence measures for conflict-free sourcing? (*)</t>
  </si>
  <si>
    <t>H. Do you verify due diligence information received from your suppliers?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</si>
  <si>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</si>
  <si>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</si>
  <si>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</si>
  <si>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</si>
  <si>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</si>
  <si>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</si>
  <si>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</si>
  <si>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</si>
  <si>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</si>
  <si>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</si>
  <si>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</si>
  <si>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</si>
  <si>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</si>
  <si>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</si>
  <si>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</si>
  <si>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</si>
  <si>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</si>
  <si>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</si>
  <si>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</si>
  <si>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</si>
  <si>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</si>
  <si>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</si>
  <si>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</si>
  <si>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</si>
  <si>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</si>
  <si>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</si>
  <si>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</si>
  <si>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</si>
  <si>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</si>
  <si>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</si>
  <si>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</si>
  <si>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</si>
  <si>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</si>
  <si>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</si>
  <si>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</si>
  <si>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</si>
  <si>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</si>
  <si>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</si>
  <si>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</si>
  <si>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</si>
  <si>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</si>
  <si>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</si>
  <si>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r>
      <rPr>
        <b/>
        <sz val="12"/>
        <rFont val="Arial"/>
        <family val="2"/>
      </rPr>
      <t>B.</t>
    </r>
    <r>
      <rPr>
        <sz val="12"/>
        <rFont val="Arial"/>
        <family val="2"/>
      </rPr>
      <t xml:space="preserve">  Please answer “Yes” or “No” If “Yes”, provide the web link in the comments section.</t>
    </r>
  </si>
  <si>
    <r>
      <t xml:space="preserve">C.  </t>
    </r>
    <r>
      <rPr>
        <sz val="12"/>
        <rFont val="Arial"/>
        <family val="2"/>
      </rPr>
      <t>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r>
  </si>
  <si>
    <r>
      <t xml:space="preserve">D.  </t>
    </r>
    <r>
      <rPr>
        <sz val="12"/>
        <rFont val="Arial"/>
        <family val="2"/>
      </rPr>
      <t>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r>
  </si>
  <si>
    <r>
      <t xml:space="preserve">E.  </t>
    </r>
    <r>
      <rPr>
        <sz val="12"/>
        <rFont val="Arial"/>
        <family val="2"/>
      </rPr>
      <t>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r>
  </si>
  <si>
    <r>
      <t xml:space="preserve">F. </t>
    </r>
    <r>
      <rPr>
        <sz val="12"/>
        <color indexed="8"/>
        <rFont val="Arial"/>
        <family val="2"/>
      </rPr>
      <t>Please answer “Yes” or “No”.  If “No”, please describe what you request your suppliers to complete (e.g., certificate of compliance, custom form, etc.).</t>
    </r>
  </si>
  <si>
    <r>
      <t xml:space="preserve">G.  </t>
    </r>
    <r>
      <rPr>
        <sz val="12"/>
        <rFont val="Arial"/>
        <family val="2"/>
      </rPr>
      <t>Please answer “Yes” or “No”.  Provide any comments, if necessary.</t>
    </r>
  </si>
  <si>
    <r>
      <t xml:space="preserve">H.  </t>
    </r>
    <r>
      <rPr>
        <sz val="12"/>
        <rFont val="Arial"/>
        <family val="2"/>
      </rPr>
      <t>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r>
  </si>
  <si>
    <r>
      <t xml:space="preserve">I.  </t>
    </r>
    <r>
      <rPr>
        <sz val="12"/>
        <rFont val="Arial"/>
        <family val="2"/>
      </rPr>
      <t>Please answer “Yes” or “No”.  If “Yes”, please describe how you manage your corrective action process.</t>
    </r>
  </si>
  <si>
    <r>
      <t xml:space="preserve">J.  </t>
    </r>
    <r>
      <rPr>
        <sz val="12"/>
        <rFont val="Arial"/>
        <family val="2"/>
      </rPr>
      <t>Please answer “Yes” or “No”.  The SEC conflict minerals disclosure requirements apply to US exchange-traded companies that are subject to the US Securities Exchange Act. For more information please refer to www.sec.gov.</t>
    </r>
  </si>
  <si>
    <t>Instructions for completing the Smelter List Tab.
Provide answers in ENGLISH only</t>
  </si>
  <si>
    <t>Instructions for completing Company Information questions (rows 7 - 17).
Provide comments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</si>
  <si>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</si>
  <si>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</si>
  <si>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</si>
  <si>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</si>
  <si>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</si>
  <si>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</si>
  <si>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</si>
  <si>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</si>
  <si>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</si>
  <si>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</si>
  <si>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</si>
  <si>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</si>
  <si>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</si>
  <si>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</si>
  <si>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</si>
  <si>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</si>
  <si>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</si>
  <si>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</si>
  <si>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</si>
  <si>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</si>
  <si>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</si>
  <si>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</si>
  <si>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</si>
  <si>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</si>
  <si>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</si>
  <si>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</si>
  <si>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</si>
  <si>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</si>
  <si>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Gold (Au)</t>
  </si>
  <si>
    <t xml:space="preserve">Inner Mongolia Qiankun Gold and Silver Refinery Share Company Limited </t>
  </si>
  <si>
    <t>Instructions for completing Questions A. – J. (rows 53 - 73).
Provide answers in ENGLISH only</t>
  </si>
</sst>
</file>

<file path=xl/styles.xml><?xml version="1.0" encoding="utf-8"?>
<styleSheet xmlns="http://schemas.openxmlformats.org/spreadsheetml/2006/main">
  <numFmts count="3">
    <numFmt numFmtId="164" formatCode="[$-409]mmmm\ d\,\ yyyy;@"/>
    <numFmt numFmtId="165" formatCode="[$-409]d\-mmm\-yyyy;@"/>
    <numFmt numFmtId="166" formatCode="000"/>
  </numFmts>
  <fonts count="73">
    <font>
      <sz val="10"/>
      <name val="Verdana"/>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22"/>
      <name val="Cambria"/>
      <family val="1"/>
    </font>
    <font>
      <b/>
      <sz val="10"/>
      <name val="Arial"/>
      <family val="2"/>
    </font>
    <font>
      <b/>
      <sz val="12"/>
      <name val="Arial"/>
      <family val="2"/>
    </font>
    <font>
      <sz val="20"/>
      <name val="Arial"/>
      <family val="2"/>
    </font>
    <font>
      <sz val="14"/>
      <name val="Arial"/>
      <family val="2"/>
    </font>
    <font>
      <b/>
      <sz val="8"/>
      <name val="Arial"/>
      <family val="2"/>
    </font>
    <font>
      <b/>
      <sz val="9"/>
      <name val="Arial"/>
      <family val="2"/>
    </font>
    <font>
      <sz val="11"/>
      <name val="Arial"/>
      <family val="2"/>
    </font>
    <font>
      <b/>
      <sz val="12"/>
      <color indexed="8"/>
      <name val="Arial"/>
      <family val="2"/>
    </font>
    <font>
      <sz val="12"/>
      <name val="Arial"/>
      <family val="2"/>
    </font>
    <font>
      <b/>
      <sz val="14"/>
      <color indexed="8"/>
      <name val="Arial"/>
      <family val="2"/>
    </font>
    <font>
      <b/>
      <sz val="16"/>
      <color indexed="8"/>
      <name val="Arial"/>
      <family val="2"/>
    </font>
    <font>
      <b/>
      <sz val="12"/>
      <color indexed="8"/>
      <name val="Arial"/>
      <family val="2"/>
    </font>
    <font>
      <b/>
      <sz val="18"/>
      <name val="Arial"/>
      <family val="2"/>
    </font>
    <font>
      <sz val="16"/>
      <name val="Tahoma"/>
      <family val="2"/>
    </font>
    <font>
      <i/>
      <sz val="12"/>
      <name val="Arial"/>
      <family val="2"/>
    </font>
    <font>
      <sz val="12"/>
      <color indexed="8"/>
      <name val="Arial"/>
      <family val="2"/>
    </font>
    <font>
      <b/>
      <sz val="12"/>
      <name val="Tahoma"/>
      <family val="2"/>
    </font>
    <font>
      <b/>
      <sz val="14"/>
      <name val="Arial"/>
      <family val="2"/>
    </font>
    <font>
      <b/>
      <i/>
      <sz val="12"/>
      <name val="Arial"/>
      <family val="2"/>
    </font>
    <font>
      <b/>
      <u/>
      <sz val="10"/>
      <name val="Verdana"/>
      <family val="2"/>
    </font>
    <font>
      <b/>
      <u/>
      <sz val="11"/>
      <name val="Verdana"/>
      <family val="2"/>
    </font>
    <font>
      <b/>
      <u/>
      <sz val="11"/>
      <name val="Cambria"/>
      <family val="1"/>
    </font>
    <font>
      <b/>
      <u/>
      <sz val="14"/>
      <name val="Verdana"/>
      <family val="2"/>
    </font>
    <font>
      <sz val="9"/>
      <color indexed="81"/>
      <name val="Tahoma"/>
      <family val="2"/>
    </font>
    <font>
      <sz val="12"/>
      <color indexed="81"/>
      <name val="Tahoma"/>
      <family val="2"/>
    </font>
    <font>
      <b/>
      <sz val="8"/>
      <name val="Cambria"/>
      <family val="1"/>
    </font>
    <font>
      <b/>
      <sz val="9"/>
      <name val="Verdana"/>
      <family val="2"/>
    </font>
    <font>
      <u/>
      <sz val="11"/>
      <color indexed="12"/>
      <name val="Verdana"/>
      <family val="2"/>
    </font>
    <font>
      <b/>
      <sz val="14"/>
      <color indexed="10"/>
      <name val="Cambria"/>
      <family val="1"/>
    </font>
    <font>
      <b/>
      <sz val="9"/>
      <color indexed="81"/>
      <name val="Tahoma"/>
      <family val="2"/>
    </font>
    <font>
      <u/>
      <sz val="14"/>
      <color indexed="12"/>
      <name val="Verdana"/>
      <family val="2"/>
    </font>
    <font>
      <b/>
      <i/>
      <sz val="10"/>
      <name val="Verdana"/>
      <family val="2"/>
    </font>
    <font>
      <u/>
      <sz val="12"/>
      <color indexed="12"/>
      <name val="Verdana"/>
      <family val="2"/>
    </font>
    <font>
      <b/>
      <sz val="22"/>
      <name val="Verdana"/>
      <family val="2"/>
    </font>
    <font>
      <b/>
      <sz val="10"/>
      <color indexed="8"/>
      <name val="Arial"/>
      <family val="2"/>
    </font>
    <font>
      <i/>
      <sz val="10"/>
      <color indexed="8"/>
      <name val="Arial"/>
      <family val="2"/>
    </font>
    <font>
      <sz val="7"/>
      <color indexed="8"/>
      <name val="Times New Roman"/>
      <family val="1"/>
    </font>
    <font>
      <b/>
      <i/>
      <sz val="18"/>
      <name val="Arial"/>
      <family val="2"/>
    </font>
    <font>
      <sz val="10"/>
      <name val="Calibri"/>
      <family val="2"/>
    </font>
    <font>
      <sz val="10"/>
      <color indexed="8"/>
      <name val="Calibri"/>
      <family val="2"/>
    </font>
    <font>
      <u/>
      <sz val="16"/>
      <color indexed="12"/>
      <name val="Verdana"/>
      <family val="2"/>
    </font>
    <font>
      <sz val="7"/>
      <name val="Verdana"/>
      <family val="2"/>
    </font>
    <font>
      <u/>
      <sz val="16"/>
      <color indexed="12"/>
      <name val="Cambria"/>
      <family val="1"/>
    </font>
    <font>
      <b/>
      <sz val="12"/>
      <color indexed="9"/>
      <name val="Cambria"/>
      <family val="1"/>
    </font>
    <font>
      <sz val="12"/>
      <color indexed="9"/>
      <name val="Cambria"/>
      <family val="1"/>
    </font>
    <font>
      <sz val="10"/>
      <color indexed="9"/>
      <name val="Verdana"/>
      <family val="2"/>
    </font>
    <font>
      <sz val="8"/>
      <color indexed="81"/>
      <name val="Tahoma"/>
      <family val="2"/>
    </font>
    <font>
      <sz val="10"/>
      <color indexed="9"/>
      <name val="Cambria"/>
      <family val="1"/>
    </font>
    <font>
      <u/>
      <sz val="10"/>
      <color indexed="12"/>
      <name val="Verdana"/>
      <family val="2"/>
    </font>
    <font>
      <b/>
      <sz val="14"/>
      <name val="Cambria"/>
      <family val="1"/>
    </font>
    <font>
      <b/>
      <u/>
      <sz val="9"/>
      <name val="Cambria"/>
      <family val="1"/>
    </font>
    <font>
      <sz val="11"/>
      <color theme="1"/>
      <name val="Calibri"/>
      <family val="2"/>
      <scheme val="minor"/>
    </font>
  </fonts>
  <fills count="4">
    <fill>
      <patternFill patternType="none"/>
    </fill>
    <fill>
      <patternFill patternType="gray125"/>
    </fill>
    <fill>
      <patternFill patternType="solid">
        <fgColor indexed="65"/>
        <bgColor indexed="64"/>
      </patternFill>
    </fill>
    <fill>
      <patternFill patternType="darkUp"/>
    </fill>
  </fills>
  <borders count="47">
    <border>
      <left/>
      <right/>
      <top/>
      <bottom/>
      <diagonal/>
    </border>
    <border>
      <left style="thin">
        <color indexed="56"/>
      </left>
      <right style="thin">
        <color indexed="56"/>
      </right>
      <top style="thin">
        <color indexed="56"/>
      </top>
      <bottom style="thin">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bottom/>
      <diagonal/>
    </border>
    <border>
      <left/>
      <right/>
      <top/>
      <bottom style="thin">
        <color indexed="56"/>
      </bottom>
      <diagonal/>
    </border>
    <border>
      <left/>
      <right/>
      <top style="thin">
        <color indexed="56"/>
      </top>
      <bottom/>
      <diagonal/>
    </border>
    <border>
      <left/>
      <right/>
      <top style="thin">
        <color indexed="56"/>
      </top>
      <bottom style="thin">
        <color indexed="56"/>
      </bottom>
      <diagonal/>
    </border>
    <border>
      <left/>
      <right style="thin">
        <color indexed="56"/>
      </right>
      <top/>
      <bottom/>
      <diagonal/>
    </border>
    <border>
      <left/>
      <right/>
      <top/>
      <bottom style="thin">
        <color indexed="9"/>
      </bottom>
      <diagonal/>
    </border>
    <border>
      <left/>
      <right style="thick">
        <color indexed="56"/>
      </right>
      <top/>
      <bottom/>
      <diagonal/>
    </border>
    <border>
      <left/>
      <right style="thick">
        <color indexed="56"/>
      </right>
      <top/>
      <bottom style="thick">
        <color indexed="56"/>
      </bottom>
      <diagonal/>
    </border>
    <border>
      <left style="thin">
        <color indexed="56"/>
      </left>
      <right style="thin">
        <color indexed="56"/>
      </right>
      <top/>
      <bottom style="thin">
        <color indexed="56"/>
      </bottom>
      <diagonal/>
    </border>
    <border>
      <left/>
      <right style="thick">
        <color indexed="56"/>
      </right>
      <top style="thin">
        <color indexed="56"/>
      </top>
      <bottom/>
      <diagonal/>
    </border>
    <border>
      <left style="thick">
        <color indexed="56"/>
      </left>
      <right/>
      <top/>
      <bottom style="thin">
        <color indexed="56"/>
      </bottom>
      <diagonal/>
    </border>
    <border>
      <left style="thin">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style="thick">
        <color indexed="56"/>
      </left>
      <right style="thin">
        <color indexed="56"/>
      </right>
      <top/>
      <bottom/>
      <diagonal/>
    </border>
    <border>
      <left style="thin">
        <color indexed="56"/>
      </left>
      <right style="thick">
        <color indexed="56"/>
      </right>
      <top/>
      <bottom/>
      <diagonal/>
    </border>
    <border>
      <left style="thin">
        <color indexed="56"/>
      </left>
      <right/>
      <top style="thin">
        <color indexed="56"/>
      </top>
      <bottom/>
      <diagonal/>
    </border>
    <border>
      <left style="thin">
        <color indexed="64"/>
      </left>
      <right/>
      <top/>
      <bottom/>
      <diagonal/>
    </border>
    <border>
      <left/>
      <right/>
      <top style="thin">
        <color indexed="64"/>
      </top>
      <bottom/>
      <diagonal/>
    </border>
    <border>
      <left style="thick">
        <color indexed="56"/>
      </left>
      <right/>
      <top/>
      <bottom style="thick">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right/>
      <top/>
      <bottom style="thick">
        <color indexed="5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56"/>
      </left>
      <right style="thin">
        <color indexed="56"/>
      </right>
      <top style="thin">
        <color indexed="56"/>
      </top>
      <bottom/>
      <diagonal/>
    </border>
    <border>
      <left style="thin">
        <color indexed="56"/>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7" fillId="0" borderId="0" applyNumberFormat="0" applyFill="0" applyBorder="0" applyAlignment="0" applyProtection="0">
      <alignment vertical="top"/>
      <protection locked="0"/>
    </xf>
    <xf numFmtId="0" fontId="5" fillId="0" borderId="0"/>
    <xf numFmtId="0" fontId="6" fillId="0" borderId="0"/>
    <xf numFmtId="0" fontId="72" fillId="0" borderId="0"/>
    <xf numFmtId="0" fontId="12" fillId="0" borderId="0"/>
  </cellStyleXfs>
  <cellXfs count="336">
    <xf numFmtId="0" fontId="0" fillId="0" borderId="0" xfId="0"/>
    <xf numFmtId="0" fontId="0" fillId="2" borderId="0" xfId="0" applyFill="1"/>
    <xf numFmtId="0" fontId="10" fillId="0" borderId="0" xfId="0" applyFont="1" applyAlignment="1">
      <alignment horizontal="center"/>
    </xf>
    <xf numFmtId="0" fontId="13" fillId="2" borderId="0" xfId="0" applyFont="1" applyFill="1" applyBorder="1" applyAlignment="1">
      <alignment horizontal="center" vertical="center"/>
    </xf>
    <xf numFmtId="0" fontId="6" fillId="2" borderId="0" xfId="0" applyFont="1" applyFill="1" applyBorder="1"/>
    <xf numFmtId="0" fontId="10" fillId="2" borderId="0" xfId="0" applyFont="1" applyFill="1" applyBorder="1"/>
    <xf numFmtId="0" fontId="17" fillId="2" borderId="1" xfId="0" applyFont="1" applyFill="1" applyBorder="1" applyAlignment="1" applyProtection="1">
      <alignment wrapText="1"/>
      <protection locked="0"/>
    </xf>
    <xf numFmtId="0" fontId="6" fillId="0" borderId="0" xfId="0" applyFont="1"/>
    <xf numFmtId="0" fontId="16" fillId="2" borderId="0" xfId="0" applyFont="1" applyFill="1" applyBorder="1" applyAlignment="1">
      <alignment horizontal="center" vertical="center" wrapText="1"/>
    </xf>
    <xf numFmtId="0" fontId="25" fillId="2" borderId="2" xfId="5" applyFont="1" applyFill="1" applyBorder="1" applyAlignment="1">
      <alignment horizontal="center" vertical="center" wrapText="1"/>
    </xf>
    <xf numFmtId="0" fontId="26" fillId="2" borderId="2" xfId="5" applyFont="1" applyFill="1" applyBorder="1" applyAlignment="1">
      <alignment horizontal="center" vertical="center" wrapText="1"/>
    </xf>
    <xf numFmtId="0" fontId="27" fillId="2" borderId="3" xfId="5" applyFont="1" applyFill="1" applyBorder="1" applyAlignment="1">
      <alignment horizontal="center" vertical="center" wrapText="1"/>
    </xf>
    <xf numFmtId="0" fontId="12" fillId="2" borderId="0" xfId="5" applyFont="1" applyFill="1" applyBorder="1"/>
    <xf numFmtId="0" fontId="31" fillId="2" borderId="0" xfId="5" applyFont="1" applyFill="1" applyBorder="1" applyAlignment="1">
      <alignment horizontal="left"/>
    </xf>
    <xf numFmtId="0" fontId="32" fillId="2" borderId="4" xfId="5" applyFont="1" applyFill="1" applyBorder="1" applyAlignment="1">
      <alignment horizontal="center" wrapText="1"/>
    </xf>
    <xf numFmtId="0" fontId="32" fillId="2" borderId="5" xfId="5" applyFont="1" applyFill="1" applyBorder="1" applyAlignment="1">
      <alignment horizontal="center" wrapText="1"/>
    </xf>
    <xf numFmtId="0" fontId="22" fillId="2" borderId="5" xfId="5" applyFont="1" applyFill="1" applyBorder="1" applyAlignment="1">
      <alignment horizontal="center" wrapText="1"/>
    </xf>
    <xf numFmtId="0" fontId="29" fillId="2" borderId="6" xfId="5" applyFont="1" applyFill="1" applyBorder="1" applyAlignment="1">
      <alignment horizontal="center" vertical="center" wrapText="1"/>
    </xf>
    <xf numFmtId="0" fontId="29" fillId="2" borderId="7" xfId="5" applyFont="1" applyFill="1" applyBorder="1" applyAlignment="1">
      <alignment vertical="center" wrapText="1"/>
    </xf>
    <xf numFmtId="164" fontId="29" fillId="2" borderId="7" xfId="5" applyNumberFormat="1" applyFont="1" applyFill="1" applyBorder="1" applyAlignment="1">
      <alignment horizontal="center" vertical="center" wrapText="1"/>
    </xf>
    <xf numFmtId="0" fontId="29" fillId="2" borderId="6" xfId="5" applyFont="1" applyFill="1" applyBorder="1" applyAlignment="1">
      <alignment horizontal="center" vertical="top" wrapText="1"/>
    </xf>
    <xf numFmtId="0" fontId="29" fillId="2" borderId="7" xfId="5" applyFont="1" applyFill="1" applyBorder="1" applyAlignment="1">
      <alignment vertical="top" wrapText="1"/>
    </xf>
    <xf numFmtId="164" fontId="29" fillId="2" borderId="7" xfId="5" applyNumberFormat="1" applyFont="1" applyFill="1" applyBorder="1" applyAlignment="1">
      <alignment horizontal="center" vertical="top" wrapText="1"/>
    </xf>
    <xf numFmtId="0" fontId="0" fillId="2" borderId="0" xfId="0" applyFont="1" applyFill="1" applyBorder="1"/>
    <xf numFmtId="0" fontId="0" fillId="2" borderId="8" xfId="0" applyFont="1" applyFill="1" applyBorder="1" applyAlignment="1">
      <alignment vertical="top" wrapText="1"/>
    </xf>
    <xf numFmtId="0" fontId="0" fillId="2" borderId="9" xfId="0" applyFont="1" applyFill="1" applyBorder="1" applyAlignment="1">
      <alignment vertical="top" wrapText="1"/>
    </xf>
    <xf numFmtId="0" fontId="0" fillId="2" borderId="10" xfId="0" applyFont="1" applyFill="1" applyBorder="1"/>
    <xf numFmtId="0" fontId="0" fillId="2" borderId="0" xfId="0" applyFill="1" applyProtection="1"/>
    <xf numFmtId="0" fontId="0" fillId="2" borderId="11" xfId="0" applyFill="1" applyBorder="1" applyAlignment="1" applyProtection="1">
      <alignment vertical="top" wrapText="1"/>
    </xf>
    <xf numFmtId="0" fontId="14" fillId="2" borderId="1" xfId="0" applyFont="1" applyFill="1" applyBorder="1" applyAlignment="1" applyProtection="1">
      <alignment vertical="center" wrapText="1"/>
    </xf>
    <xf numFmtId="0" fontId="13" fillId="2" borderId="12" xfId="0" applyFont="1" applyFill="1" applyBorder="1" applyAlignment="1" applyProtection="1">
      <alignment vertical="center"/>
    </xf>
    <xf numFmtId="0" fontId="10" fillId="2" borderId="0" xfId="0" applyFont="1" applyFill="1" applyProtection="1"/>
    <xf numFmtId="0" fontId="0" fillId="2" borderId="0" xfId="0" applyFill="1" applyAlignment="1" applyProtection="1">
      <alignment vertical="top" wrapText="1"/>
    </xf>
    <xf numFmtId="0" fontId="13" fillId="2" borderId="11" xfId="0" applyFont="1" applyFill="1" applyBorder="1" applyAlignment="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9" fillId="2" borderId="13" xfId="0" applyFont="1" applyFill="1" applyBorder="1" applyAlignment="1" applyProtection="1">
      <alignment horizontal="left" vertical="center" wrapText="1"/>
    </xf>
    <xf numFmtId="0" fontId="17" fillId="2" borderId="0" xfId="0" applyFont="1" applyFill="1" applyBorder="1" applyAlignment="1" applyProtection="1">
      <alignment vertical="center"/>
    </xf>
    <xf numFmtId="0" fontId="11" fillId="2" borderId="11" xfId="0" applyFont="1" applyFill="1" applyBorder="1" applyAlignment="1" applyProtection="1"/>
    <xf numFmtId="0" fontId="0" fillId="2" borderId="11" xfId="0" applyFill="1" applyBorder="1" applyAlignment="1" applyProtection="1"/>
    <xf numFmtId="0" fontId="16" fillId="2" borderId="14"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17" fillId="2" borderId="14" xfId="0" applyFont="1" applyFill="1" applyBorder="1" applyAlignment="1" applyProtection="1">
      <alignment horizontal="center" vertical="center"/>
    </xf>
    <xf numFmtId="0" fontId="17" fillId="2" borderId="14"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3" fillId="2" borderId="0" xfId="0" applyFont="1" applyFill="1" applyProtection="1"/>
    <xf numFmtId="0" fontId="17" fillId="2" borderId="12" xfId="0" applyFont="1" applyFill="1" applyBorder="1" applyAlignment="1" applyProtection="1">
      <alignment vertical="center"/>
    </xf>
    <xf numFmtId="0" fontId="9" fillId="2" borderId="11" xfId="0" applyFont="1" applyFill="1" applyBorder="1" applyAlignment="1" applyProtection="1">
      <alignment vertical="top" wrapText="1"/>
    </xf>
    <xf numFmtId="0" fontId="17" fillId="2" borderId="15" xfId="0" applyFont="1" applyFill="1" applyBorder="1" applyAlignment="1" applyProtection="1">
      <alignment horizontal="center" vertical="center"/>
    </xf>
    <xf numFmtId="0" fontId="3" fillId="2" borderId="11" xfId="0" applyFont="1" applyFill="1" applyBorder="1" applyAlignment="1" applyProtection="1">
      <alignment vertical="top" wrapText="1"/>
    </xf>
    <xf numFmtId="0" fontId="17" fillId="2" borderId="15" xfId="0" applyFont="1" applyFill="1" applyBorder="1" applyAlignment="1" applyProtection="1">
      <alignment horizontal="lef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3" fillId="2" borderId="15" xfId="0" applyFont="1" applyFill="1" applyBorder="1" applyAlignment="1" applyProtection="1">
      <alignment horizontal="left" vertical="center"/>
    </xf>
    <xf numFmtId="0" fontId="13" fillId="2" borderId="15" xfId="0" applyFont="1" applyFill="1" applyBorder="1" applyAlignment="1" applyProtection="1">
      <alignment horizontal="center" vertical="center"/>
    </xf>
    <xf numFmtId="0" fontId="0" fillId="2" borderId="0" xfId="0" applyFill="1" applyAlignment="1" applyProtection="1">
      <alignment wrapText="1"/>
    </xf>
    <xf numFmtId="0" fontId="2" fillId="2" borderId="0" xfId="0" applyFont="1" applyFill="1" applyAlignment="1" applyProtection="1">
      <alignment wrapText="1"/>
    </xf>
    <xf numFmtId="0" fontId="17" fillId="2" borderId="1" xfId="0" applyFont="1" applyFill="1" applyBorder="1" applyAlignment="1" applyProtection="1">
      <alignment vertical="center" wrapText="1"/>
      <protection locked="0"/>
    </xf>
    <xf numFmtId="0" fontId="0" fillId="2" borderId="0" xfId="0" applyFill="1" applyAlignment="1" applyProtection="1">
      <alignment vertical="top"/>
    </xf>
    <xf numFmtId="0" fontId="13" fillId="2" borderId="16" xfId="0" applyFont="1" applyFill="1" applyBorder="1" applyAlignment="1" applyProtection="1">
      <alignment vertical="center"/>
    </xf>
    <xf numFmtId="0" fontId="10"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6" fillId="2" borderId="1" xfId="0" applyFont="1" applyFill="1" applyBorder="1" applyAlignment="1" applyProtection="1">
      <alignment horizontal="right" vertical="center"/>
      <protection hidden="1"/>
    </xf>
    <xf numFmtId="0" fontId="16" fillId="2" borderId="13" xfId="0" applyFont="1" applyFill="1" applyBorder="1" applyAlignment="1" applyProtection="1">
      <alignment wrapText="1"/>
      <protection hidden="1"/>
    </xf>
    <xf numFmtId="0" fontId="13" fillId="2" borderId="0" xfId="0" applyFont="1" applyFill="1" applyBorder="1" applyAlignment="1" applyProtection="1">
      <alignment vertical="center"/>
      <protection hidden="1"/>
    </xf>
    <xf numFmtId="0" fontId="17" fillId="2" borderId="13"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6" fillId="2" borderId="14" xfId="0" applyFont="1" applyFill="1" applyBorder="1" applyAlignment="1" applyProtection="1">
      <alignment horizontal="right" vertical="center"/>
      <protection hidden="1"/>
    </xf>
    <xf numFmtId="0" fontId="16" fillId="2" borderId="13" xfId="0" applyFont="1" applyFill="1" applyBorder="1" applyAlignment="1" applyProtection="1">
      <alignment horizontal="left" vertical="center" wrapText="1"/>
      <protection hidden="1"/>
    </xf>
    <xf numFmtId="0" fontId="17" fillId="2" borderId="1" xfId="0" applyFont="1" applyFill="1" applyBorder="1" applyAlignment="1" applyProtection="1">
      <alignment vertical="center" wrapText="1"/>
      <protection hidden="1"/>
    </xf>
    <xf numFmtId="0" fontId="17" fillId="2" borderId="15" xfId="0" applyFont="1" applyFill="1" applyBorder="1" applyAlignment="1" applyProtection="1">
      <alignment vertical="center" wrapText="1"/>
      <protection hidden="1"/>
    </xf>
    <xf numFmtId="2" fontId="18" fillId="2" borderId="15" xfId="0" applyNumberFormat="1" applyFont="1" applyFill="1" applyBorder="1" applyAlignment="1" applyProtection="1">
      <alignment horizontal="left" wrapText="1"/>
      <protection hidden="1"/>
    </xf>
    <xf numFmtId="0" fontId="17" fillId="2" borderId="15"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left" vertical="center" wrapText="1"/>
      <protection hidden="1"/>
    </xf>
    <xf numFmtId="0" fontId="13" fillId="2" borderId="15" xfId="0" applyFont="1" applyFill="1" applyBorder="1" applyAlignment="1" applyProtection="1">
      <alignment horizontal="left" vertical="center"/>
      <protection hidden="1"/>
    </xf>
    <xf numFmtId="0" fontId="0" fillId="2" borderId="0" xfId="0" applyFill="1" applyAlignment="1" applyProtection="1"/>
    <xf numFmtId="0" fontId="22" fillId="0" borderId="0" xfId="0" applyNumberFormat="1" applyFont="1" applyFill="1" applyAlignment="1" applyProtection="1">
      <alignment vertical="center" wrapText="1"/>
      <protection hidden="1"/>
    </xf>
    <xf numFmtId="0" fontId="34" fillId="3" borderId="0" xfId="0" applyFont="1" applyFill="1" applyAlignment="1" applyProtection="1">
      <alignment wrapText="1"/>
      <protection hidden="1"/>
    </xf>
    <xf numFmtId="0" fontId="0" fillId="0" borderId="0" xfId="0" applyProtection="1">
      <protection hidden="1"/>
    </xf>
    <xf numFmtId="0" fontId="16" fillId="2" borderId="17" xfId="0" applyFont="1" applyFill="1" applyBorder="1" applyAlignment="1" applyProtection="1">
      <alignment horizontal="left" wrapText="1"/>
      <protection hidden="1"/>
    </xf>
    <xf numFmtId="0" fontId="41" fillId="2" borderId="1" xfId="0" applyFont="1" applyFill="1" applyBorder="1" applyAlignment="1" applyProtection="1">
      <alignment horizontal="center" vertical="center"/>
      <protection locked="0" hidden="1"/>
    </xf>
    <xf numFmtId="0" fontId="6" fillId="0" borderId="0" xfId="0" applyFont="1" applyAlignment="1"/>
    <xf numFmtId="0" fontId="6" fillId="2" borderId="0" xfId="0" applyFont="1" applyFill="1" applyAlignment="1" applyProtection="1">
      <alignment vertical="top"/>
    </xf>
    <xf numFmtId="0" fontId="22" fillId="0" borderId="0" xfId="0" applyNumberFormat="1" applyFont="1" applyFill="1" applyAlignment="1">
      <alignment vertical="top"/>
    </xf>
    <xf numFmtId="0" fontId="33" fillId="0" borderId="0" xfId="0" applyFont="1" applyAlignment="1">
      <alignment vertical="top"/>
    </xf>
    <xf numFmtId="0" fontId="29" fillId="0" borderId="0" xfId="0" applyNumberFormat="1" applyFont="1" applyFill="1" applyAlignment="1">
      <alignment vertical="top"/>
    </xf>
    <xf numFmtId="0" fontId="29" fillId="0" borderId="0" xfId="0" applyFont="1" applyAlignment="1">
      <alignment horizontal="left" vertical="top"/>
    </xf>
    <xf numFmtId="0" fontId="29" fillId="0" borderId="0" xfId="0" applyFont="1" applyAlignment="1">
      <alignment vertical="top"/>
    </xf>
    <xf numFmtId="0" fontId="33" fillId="0" borderId="0" xfId="0" applyFont="1" applyFill="1" applyAlignment="1">
      <alignment vertical="top"/>
    </xf>
    <xf numFmtId="0" fontId="24" fillId="0" borderId="0" xfId="0" applyFont="1" applyFill="1" applyAlignment="1">
      <alignment vertical="top"/>
    </xf>
    <xf numFmtId="0" fontId="22" fillId="0" borderId="0" xfId="0" applyFont="1" applyAlignment="1">
      <alignment horizontal="left" vertical="top"/>
    </xf>
    <xf numFmtId="0" fontId="28" fillId="0" borderId="0" xfId="0" applyFont="1" applyAlignment="1">
      <alignment horizontal="left" vertical="top"/>
    </xf>
    <xf numFmtId="0" fontId="38" fillId="0" borderId="0" xfId="0" applyFont="1" applyAlignment="1">
      <alignment horizontal="left" vertical="top"/>
    </xf>
    <xf numFmtId="0" fontId="29" fillId="0" borderId="0" xfId="0" applyFont="1" applyAlignment="1"/>
    <xf numFmtId="0" fontId="10" fillId="2" borderId="0" xfId="0" applyFont="1" applyFill="1" applyAlignment="1" applyProtection="1"/>
    <xf numFmtId="0" fontId="10" fillId="2" borderId="0" xfId="0" applyFont="1" applyFill="1" applyAlignment="1" applyProtection="1">
      <alignment vertical="top"/>
    </xf>
    <xf numFmtId="0" fontId="10" fillId="0" borderId="0" xfId="0" applyFont="1" applyAlignment="1" applyProtection="1">
      <alignment horizontal="center"/>
      <protection hidden="1"/>
    </xf>
    <xf numFmtId="0" fontId="46" fillId="2" borderId="0" xfId="0" applyFont="1" applyFill="1" applyBorder="1" applyAlignment="1" applyProtection="1">
      <alignment vertical="center" wrapText="1"/>
    </xf>
    <xf numFmtId="0" fontId="2" fillId="2" borderId="1" xfId="0" applyFont="1" applyFill="1" applyBorder="1" applyAlignment="1" applyProtection="1">
      <alignment horizontal="left" vertical="top" wrapText="1"/>
      <protection hidden="1"/>
    </xf>
    <xf numFmtId="0" fontId="2" fillId="2" borderId="1" xfId="0" applyFont="1" applyFill="1" applyBorder="1" applyAlignment="1">
      <alignment horizontal="left" vertical="top"/>
    </xf>
    <xf numFmtId="0" fontId="2" fillId="2" borderId="1" xfId="0" applyFont="1" applyFill="1" applyBorder="1" applyAlignment="1">
      <alignment vertical="top"/>
    </xf>
    <xf numFmtId="0" fontId="37" fillId="2" borderId="1" xfId="0" applyFont="1" applyFill="1" applyBorder="1" applyAlignment="1">
      <alignment horizontal="left" vertical="top"/>
    </xf>
    <xf numFmtId="0" fontId="3" fillId="2" borderId="1" xfId="0" applyFont="1" applyFill="1" applyBorder="1" applyAlignment="1">
      <alignment vertical="top"/>
    </xf>
    <xf numFmtId="0" fontId="6" fillId="2" borderId="0" xfId="0" applyFont="1" applyFill="1"/>
    <xf numFmtId="0" fontId="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6" fillId="2" borderId="0" xfId="0" applyFont="1" applyFill="1" applyAlignment="1" applyProtection="1"/>
    <xf numFmtId="0" fontId="16" fillId="2" borderId="17" xfId="0" applyFont="1" applyFill="1" applyBorder="1" applyAlignment="1" applyProtection="1">
      <alignment horizontal="center" wrapText="1"/>
      <protection hidden="1"/>
    </xf>
    <xf numFmtId="0" fontId="6" fillId="2" borderId="0" xfId="0" applyFont="1" applyFill="1" applyProtection="1"/>
    <xf numFmtId="0" fontId="7" fillId="2" borderId="16" xfId="1" applyFill="1" applyBorder="1" applyAlignment="1" applyProtection="1">
      <alignment horizontal="left" vertical="center"/>
    </xf>
    <xf numFmtId="0" fontId="6" fillId="2" borderId="0" xfId="0" applyFont="1" applyFill="1" applyAlignment="1" applyProtection="1">
      <alignment wrapText="1"/>
    </xf>
    <xf numFmtId="0" fontId="6" fillId="0" borderId="0" xfId="0" applyFont="1" applyAlignment="1" applyProtection="1">
      <alignment horizontal="center" wrapText="1"/>
      <protection hidden="1"/>
    </xf>
    <xf numFmtId="0" fontId="48" fillId="0" borderId="0" xfId="1" applyFont="1" applyFill="1" applyAlignment="1" applyProtection="1">
      <alignment horizontal="center"/>
      <protection hidden="1"/>
    </xf>
    <xf numFmtId="0" fontId="6" fillId="0" borderId="0" xfId="0" applyFont="1" applyFill="1" applyAlignment="1" applyProtection="1">
      <alignment horizontal="center" wrapText="1"/>
      <protection hidden="1"/>
    </xf>
    <xf numFmtId="0" fontId="6" fillId="0" borderId="0" xfId="0" applyFont="1" applyProtection="1">
      <protection hidden="1"/>
    </xf>
    <xf numFmtId="0" fontId="10" fillId="0" borderId="0" xfId="0" applyFont="1" applyAlignment="1" applyProtection="1">
      <alignment horizontal="center" wrapText="1"/>
      <protection hidden="1"/>
    </xf>
    <xf numFmtId="0" fontId="0" fillId="0" borderId="4" xfId="0" applyBorder="1" applyProtection="1">
      <protection hidden="1"/>
    </xf>
    <xf numFmtId="0" fontId="0" fillId="0" borderId="4" xfId="0" applyBorder="1" applyAlignment="1" applyProtection="1">
      <alignment wrapText="1"/>
      <protection hidden="1"/>
    </xf>
    <xf numFmtId="0" fontId="7" fillId="0" borderId="4" xfId="1" applyBorder="1" applyAlignment="1" applyProtection="1">
      <alignment wrapText="1"/>
      <protection hidden="1"/>
    </xf>
    <xf numFmtId="0" fontId="6" fillId="0" borderId="4" xfId="0" applyFont="1" applyBorder="1" applyAlignment="1" applyProtection="1">
      <alignment wrapText="1"/>
      <protection hidden="1"/>
    </xf>
    <xf numFmtId="0" fontId="0" fillId="0" borderId="4" xfId="0" applyBorder="1" applyAlignment="1" applyProtection="1">
      <alignment horizontal="left" vertical="top" wrapText="1"/>
      <protection hidden="1"/>
    </xf>
    <xf numFmtId="0" fontId="0" fillId="1" borderId="4" xfId="0" applyFill="1" applyBorder="1" applyAlignment="1" applyProtection="1">
      <alignment wrapText="1"/>
      <protection hidden="1"/>
    </xf>
    <xf numFmtId="0" fontId="0" fillId="0" borderId="4" xfId="0" applyBorder="1" applyAlignment="1" applyProtection="1">
      <alignment horizontal="right"/>
      <protection hidden="1"/>
    </xf>
    <xf numFmtId="0" fontId="0" fillId="0" borderId="0" xfId="0" applyAlignment="1" applyProtection="1">
      <alignment wrapText="1"/>
      <protection hidden="1"/>
    </xf>
    <xf numFmtId="0" fontId="52" fillId="0" borderId="0" xfId="0" applyFont="1" applyProtection="1">
      <protection hidden="1"/>
    </xf>
    <xf numFmtId="0" fontId="0" fillId="0" borderId="0" xfId="0" applyFill="1" applyBorder="1" applyProtection="1">
      <protection hidden="1"/>
    </xf>
    <xf numFmtId="0" fontId="0" fillId="2" borderId="0" xfId="0" applyFill="1" applyProtection="1">
      <protection hidden="1"/>
    </xf>
    <xf numFmtId="0" fontId="13" fillId="2" borderId="0" xfId="0" applyFont="1" applyFill="1" applyBorder="1" applyAlignment="1" applyProtection="1">
      <alignment horizontal="center" vertical="center" wrapText="1"/>
      <protection hidden="1"/>
    </xf>
    <xf numFmtId="0" fontId="20" fillId="2" borderId="0" xfId="1" applyFont="1" applyFill="1" applyBorder="1" applyAlignment="1" applyProtection="1">
      <alignment horizontal="center" vertical="center" wrapText="1"/>
      <protection hidden="1"/>
    </xf>
    <xf numFmtId="0" fontId="13" fillId="2" borderId="0" xfId="0" applyFont="1" applyFill="1" applyBorder="1" applyAlignment="1" applyProtection="1">
      <alignment vertical="center" wrapText="1"/>
      <protection hidden="1"/>
    </xf>
    <xf numFmtId="165" fontId="0" fillId="0" borderId="4" xfId="0" applyNumberFormat="1" applyBorder="1" applyAlignment="1" applyProtection="1">
      <alignment horizontal="left" wrapText="1"/>
      <protection hidden="1"/>
    </xf>
    <xf numFmtId="0" fontId="4" fillId="2" borderId="0" xfId="0" applyFont="1" applyFill="1" applyAlignment="1" applyProtection="1">
      <alignment horizontal="center" vertical="center" wrapText="1"/>
      <protection hidden="1"/>
    </xf>
    <xf numFmtId="0" fontId="6" fillId="0" borderId="0" xfId="0" applyFont="1" applyFill="1" applyProtection="1"/>
    <xf numFmtId="0" fontId="3" fillId="2" borderId="1" xfId="0" applyFont="1" applyFill="1" applyBorder="1" applyAlignment="1">
      <alignment horizontal="left" vertical="top"/>
    </xf>
    <xf numFmtId="0" fontId="16" fillId="2" borderId="0" xfId="0" applyFont="1" applyFill="1" applyBorder="1" applyAlignment="1" applyProtection="1">
      <alignment wrapText="1"/>
    </xf>
    <xf numFmtId="0" fontId="16"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xf>
    <xf numFmtId="0" fontId="13" fillId="2" borderId="18" xfId="0" applyFont="1" applyFill="1" applyBorder="1" applyAlignment="1" applyProtection="1">
      <alignment vertical="center"/>
    </xf>
    <xf numFmtId="0" fontId="6" fillId="0" borderId="0" xfId="0" applyFont="1" applyAlignment="1" applyProtection="1">
      <alignment horizontal="center"/>
      <protection hidden="1"/>
    </xf>
    <xf numFmtId="0" fontId="51" fillId="2" borderId="0" xfId="1" applyFont="1" applyFill="1" applyBorder="1" applyAlignment="1" applyProtection="1">
      <alignment horizontal="center" vertical="center"/>
    </xf>
    <xf numFmtId="0" fontId="41" fillId="2" borderId="0" xfId="0" applyFont="1" applyFill="1" applyBorder="1" applyAlignment="1" applyProtection="1">
      <alignment horizontal="center" vertical="center"/>
      <protection locked="0" hidden="1"/>
    </xf>
    <xf numFmtId="0" fontId="17" fillId="2" borderId="15" xfId="0" applyFont="1" applyFill="1" applyBorder="1" applyAlignment="1" applyProtection="1">
      <alignment vertical="center"/>
      <protection hidden="1"/>
    </xf>
    <xf numFmtId="0" fontId="0" fillId="2" borderId="0" xfId="0" applyFill="1" applyAlignment="1" applyProtection="1">
      <alignment horizontal="center"/>
    </xf>
    <xf numFmtId="0" fontId="16" fillId="2" borderId="20" xfId="0" applyFont="1" applyFill="1" applyBorder="1" applyAlignment="1" applyProtection="1">
      <alignment horizontal="right" vertical="center"/>
      <protection hidden="1"/>
    </xf>
    <xf numFmtId="0" fontId="16" fillId="2" borderId="13" xfId="0" applyFont="1" applyFill="1" applyBorder="1" applyAlignment="1" applyProtection="1">
      <alignment horizontal="left" wrapText="1"/>
      <protection hidden="1"/>
    </xf>
    <xf numFmtId="0" fontId="53" fillId="0" borderId="0" xfId="1" applyFont="1" applyAlignment="1" applyProtection="1">
      <alignment horizontal="center"/>
    </xf>
    <xf numFmtId="0" fontId="51" fillId="2" borderId="14" xfId="1" applyFont="1" applyFill="1" applyBorder="1" applyAlignment="1" applyProtection="1">
      <alignment vertical="center"/>
    </xf>
    <xf numFmtId="0" fontId="51" fillId="2" borderId="0" xfId="1" applyFont="1" applyFill="1" applyAlignment="1" applyProtection="1">
      <alignment vertical="center"/>
    </xf>
    <xf numFmtId="0" fontId="1" fillId="2" borderId="21" xfId="0" applyFont="1" applyFill="1" applyBorder="1" applyAlignment="1" applyProtection="1">
      <alignment vertical="center"/>
    </xf>
    <xf numFmtId="0" fontId="13" fillId="2" borderId="22" xfId="0" applyFont="1" applyFill="1" applyBorder="1" applyAlignment="1" applyProtection="1">
      <alignment vertical="center"/>
    </xf>
    <xf numFmtId="0" fontId="13"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13" fillId="2" borderId="25" xfId="0" applyFont="1" applyFill="1" applyBorder="1" applyAlignment="1" applyProtection="1">
      <alignment vertical="center"/>
    </xf>
    <xf numFmtId="0" fontId="13" fillId="2" borderId="20" xfId="0" applyFont="1" applyFill="1" applyBorder="1" applyAlignment="1" applyProtection="1">
      <alignment vertical="center"/>
    </xf>
    <xf numFmtId="2" fontId="16" fillId="2" borderId="14" xfId="0" applyNumberFormat="1" applyFont="1" applyFill="1" applyBorder="1" applyAlignment="1" applyProtection="1">
      <alignment horizontal="left" vertical="center" wrapText="1"/>
    </xf>
    <xf numFmtId="0" fontId="16" fillId="2" borderId="15" xfId="0" applyFont="1" applyFill="1" applyBorder="1" applyAlignment="1" applyProtection="1">
      <alignment horizontal="left" wrapText="1"/>
      <protection hidden="1"/>
    </xf>
    <xf numFmtId="0" fontId="16" fillId="2" borderId="15" xfId="0" applyFont="1" applyFill="1" applyBorder="1" applyAlignment="1" applyProtection="1">
      <alignment horizontal="left"/>
      <protection hidden="1"/>
    </xf>
    <xf numFmtId="0" fontId="16" fillId="2" borderId="14" xfId="0" applyFont="1" applyFill="1" applyBorder="1" applyAlignment="1" applyProtection="1">
      <alignment horizontal="left"/>
      <protection hidden="1"/>
    </xf>
    <xf numFmtId="0" fontId="13" fillId="2" borderId="26" xfId="0" applyFont="1" applyFill="1" applyBorder="1" applyAlignment="1" applyProtection="1">
      <alignment vertical="center"/>
    </xf>
    <xf numFmtId="0" fontId="1" fillId="2" borderId="27" xfId="0" applyFont="1" applyFill="1" applyBorder="1" applyAlignment="1" applyProtection="1">
      <alignment vertical="center"/>
    </xf>
    <xf numFmtId="0" fontId="16" fillId="2" borderId="28" xfId="0" applyFont="1" applyFill="1" applyBorder="1" applyAlignment="1" applyProtection="1">
      <alignment wrapText="1"/>
    </xf>
    <xf numFmtId="2" fontId="16" fillId="2" borderId="15" xfId="0" applyNumberFormat="1" applyFont="1" applyFill="1" applyBorder="1" applyAlignment="1" applyProtection="1">
      <alignment horizontal="left" wrapText="1"/>
      <protection hidden="1"/>
    </xf>
    <xf numFmtId="0" fontId="0" fillId="0" borderId="0" xfId="0" applyAlignment="1"/>
    <xf numFmtId="0" fontId="33" fillId="0" borderId="0" xfId="0" applyFont="1" applyAlignment="1"/>
    <xf numFmtId="0" fontId="55" fillId="0" borderId="0" xfId="0" applyFont="1" applyAlignment="1">
      <alignment horizontal="center"/>
    </xf>
    <xf numFmtId="0" fontId="47" fillId="2" borderId="0" xfId="0" applyFont="1" applyFill="1" applyBorder="1" applyAlignment="1" applyProtection="1">
      <alignment horizontal="right" wrapText="1"/>
      <protection hidden="1"/>
    </xf>
    <xf numFmtId="0" fontId="0" fillId="0" borderId="0" xfId="0" applyFont="1" applyAlignment="1">
      <alignment horizontal="left"/>
    </xf>
    <xf numFmtId="0" fontId="0" fillId="0" borderId="0" xfId="0" applyAlignment="1">
      <alignment horizontal="left"/>
    </xf>
    <xf numFmtId="0" fontId="42" fillId="2" borderId="29" xfId="0" applyFont="1" applyFill="1" applyBorder="1" applyAlignment="1" applyProtection="1">
      <alignment horizontal="center" vertical="center" wrapText="1"/>
      <protection hidden="1"/>
    </xf>
    <xf numFmtId="0" fontId="10" fillId="2" borderId="0" xfId="0" applyFont="1" applyFill="1" applyAlignment="1" applyProtection="1">
      <alignment horizontal="center"/>
    </xf>
    <xf numFmtId="0" fontId="6" fillId="0" borderId="0" xfId="0" applyFont="1" applyAlignment="1">
      <alignment horizontal="center"/>
    </xf>
    <xf numFmtId="0" fontId="10" fillId="0" borderId="0" xfId="0" applyFont="1" applyProtection="1">
      <protection hidden="1"/>
    </xf>
    <xf numFmtId="0" fontId="0" fillId="0" borderId="4" xfId="0" applyFill="1" applyBorder="1" applyProtection="1">
      <protection hidden="1"/>
    </xf>
    <xf numFmtId="0" fontId="0" fillId="0" borderId="30" xfId="0" applyBorder="1" applyProtection="1">
      <protection hidden="1"/>
    </xf>
    <xf numFmtId="0" fontId="3" fillId="2" borderId="0" xfId="0" applyFont="1" applyFill="1" applyAlignment="1" applyProtection="1">
      <alignment wrapText="1"/>
    </xf>
    <xf numFmtId="0" fontId="64" fillId="2" borderId="0" xfId="0" applyFont="1" applyFill="1" applyBorder="1" applyAlignment="1" applyProtection="1">
      <alignment horizontal="right" vertical="center"/>
    </xf>
    <xf numFmtId="0" fontId="65" fillId="2" borderId="0" xfId="0" applyFont="1" applyFill="1" applyBorder="1" applyAlignment="1" applyProtection="1">
      <alignment horizontal="left" wrapText="1"/>
      <protection hidden="1"/>
    </xf>
    <xf numFmtId="0" fontId="65" fillId="2" borderId="0" xfId="0" applyFont="1" applyFill="1" applyBorder="1" applyAlignment="1" applyProtection="1">
      <alignment vertical="center"/>
    </xf>
    <xf numFmtId="0" fontId="65" fillId="2" borderId="13" xfId="0" applyFont="1" applyFill="1" applyBorder="1" applyAlignment="1" applyProtection="1">
      <alignment vertical="center"/>
    </xf>
    <xf numFmtId="0" fontId="6" fillId="0" borderId="0" xfId="0" applyNumberFormat="1" applyFont="1"/>
    <xf numFmtId="0" fontId="7" fillId="0" borderId="4" xfId="1" applyFill="1" applyBorder="1" applyAlignment="1" applyProtection="1">
      <alignment wrapText="1"/>
      <protection hidden="1"/>
    </xf>
    <xf numFmtId="0" fontId="66" fillId="0" borderId="0" xfId="0" applyFont="1" applyFill="1" applyProtection="1"/>
    <xf numFmtId="0" fontId="66" fillId="2" borderId="0" xfId="0" applyFont="1" applyFill="1" applyAlignment="1" applyProtection="1"/>
    <xf numFmtId="0" fontId="66" fillId="2" borderId="0" xfId="0" applyFont="1" applyFill="1" applyProtection="1">
      <protection hidden="1"/>
    </xf>
    <xf numFmtId="49" fontId="16" fillId="2" borderId="17" xfId="0" applyNumberFormat="1" applyFont="1" applyFill="1" applyBorder="1" applyAlignment="1" applyProtection="1">
      <alignment horizontal="center" wrapText="1"/>
      <protection hidden="1"/>
    </xf>
    <xf numFmtId="49" fontId="17" fillId="2" borderId="1" xfId="0" applyNumberFormat="1" applyFont="1" applyFill="1" applyBorder="1" applyAlignment="1" applyProtection="1">
      <alignment wrapText="1"/>
      <protection locked="0"/>
    </xf>
    <xf numFmtId="49" fontId="17" fillId="2" borderId="1" xfId="0" applyNumberFormat="1" applyFont="1" applyFill="1" applyBorder="1" applyAlignment="1" applyProtection="1">
      <alignment vertical="center" wrapText="1"/>
      <protection locked="0"/>
    </xf>
    <xf numFmtId="49" fontId="0" fillId="2" borderId="0" xfId="0" applyNumberFormat="1" applyFill="1" applyProtection="1">
      <protection hidden="1"/>
    </xf>
    <xf numFmtId="166" fontId="0" fillId="0" borderId="0" xfId="0" applyNumberFormat="1"/>
    <xf numFmtId="0" fontId="0" fillId="0" borderId="0" xfId="0" applyAlignment="1">
      <alignment horizontal="right"/>
    </xf>
    <xf numFmtId="0" fontId="10" fillId="0" borderId="0" xfId="0" applyFont="1" applyAlignment="1">
      <alignment horizontal="right"/>
    </xf>
    <xf numFmtId="0" fontId="0" fillId="0" borderId="0" xfId="0" applyFill="1"/>
    <xf numFmtId="0" fontId="6" fillId="0" borderId="0" xfId="0" applyFont="1" applyAlignment="1">
      <alignment horizontal="left"/>
    </xf>
    <xf numFmtId="0" fontId="6" fillId="2" borderId="12" xfId="0" applyFont="1" applyFill="1" applyBorder="1" applyAlignment="1">
      <alignment vertical="top"/>
    </xf>
    <xf numFmtId="0" fontId="13" fillId="2" borderId="31" xfId="0" applyFont="1" applyFill="1" applyBorder="1" applyAlignment="1" applyProtection="1">
      <alignment vertical="center" wrapText="1"/>
      <protection hidden="1"/>
    </xf>
    <xf numFmtId="0" fontId="13" fillId="2" borderId="18" xfId="0" applyFont="1" applyFill="1" applyBorder="1" applyAlignment="1" applyProtection="1">
      <alignment vertical="center"/>
      <protection hidden="1"/>
    </xf>
    <xf numFmtId="0" fontId="13" fillId="2" borderId="19" xfId="0" applyFont="1" applyFill="1" applyBorder="1" applyAlignment="1" applyProtection="1">
      <alignment vertical="center"/>
      <protection hidden="1"/>
    </xf>
    <xf numFmtId="0" fontId="40" fillId="2" borderId="1" xfId="0" applyFont="1" applyFill="1" applyBorder="1" applyAlignment="1" applyProtection="1">
      <alignment horizontal="right" wrapText="1"/>
      <protection hidden="1"/>
    </xf>
    <xf numFmtId="0" fontId="40" fillId="2" borderId="1" xfId="0" applyFont="1" applyFill="1" applyBorder="1" applyAlignment="1" applyProtection="1">
      <alignment horizontal="center" vertical="center"/>
      <protection locked="0" hidden="1"/>
    </xf>
    <xf numFmtId="0" fontId="48" fillId="0" borderId="0" xfId="1" applyFont="1" applyFill="1" applyAlignment="1" applyProtection="1">
      <alignment horizontal="center" wrapText="1"/>
      <protection hidden="1"/>
    </xf>
    <xf numFmtId="49" fontId="0" fillId="0" borderId="4" xfId="0" applyNumberFormat="1" applyBorder="1" applyProtection="1">
      <protection hidden="1"/>
    </xf>
    <xf numFmtId="0" fontId="7" fillId="0" borderId="4" xfId="1" applyBorder="1" applyAlignment="1" applyProtection="1"/>
    <xf numFmtId="0" fontId="22" fillId="0" borderId="0" xfId="0" applyFont="1" applyFill="1" applyAlignment="1">
      <alignment horizontal="left" vertical="top"/>
    </xf>
    <xf numFmtId="0" fontId="34" fillId="3" borderId="0" xfId="0" applyFont="1" applyFill="1" applyAlignment="1" applyProtection="1">
      <protection hidden="1"/>
    </xf>
    <xf numFmtId="0" fontId="38" fillId="0" borderId="0" xfId="0" applyFont="1" applyFill="1" applyAlignment="1">
      <alignment horizontal="left" vertical="top"/>
    </xf>
    <xf numFmtId="0" fontId="0" fillId="0" borderId="0" xfId="0" applyFill="1" applyAlignment="1"/>
    <xf numFmtId="0" fontId="29" fillId="0" borderId="0" xfId="0" applyFont="1" applyFill="1" applyAlignment="1">
      <alignment horizontal="left" vertical="top"/>
    </xf>
    <xf numFmtId="0" fontId="3" fillId="0" borderId="1" xfId="0" applyFont="1" applyFill="1" applyBorder="1" applyAlignment="1">
      <alignment vertical="top"/>
    </xf>
    <xf numFmtId="0" fontId="68" fillId="2" borderId="11" xfId="0" applyFont="1" applyFill="1" applyBorder="1" applyAlignment="1" applyProtection="1">
      <alignment vertical="center"/>
      <protection hidden="1"/>
    </xf>
    <xf numFmtId="0" fontId="17" fillId="2" borderId="1" xfId="0" applyFont="1" applyFill="1" applyBorder="1" applyAlignment="1" applyProtection="1">
      <protection locked="0" hidden="1"/>
    </xf>
    <xf numFmtId="0" fontId="17" fillId="0" borderId="1" xfId="0" applyFont="1" applyFill="1" applyBorder="1" applyAlignment="1" applyProtection="1">
      <protection locked="0" hidden="1"/>
    </xf>
    <xf numFmtId="0" fontId="0" fillId="2" borderId="0" xfId="0" applyFill="1" applyAlignment="1" applyProtection="1">
      <protection locked="0"/>
    </xf>
    <xf numFmtId="0" fontId="17" fillId="2" borderId="1" xfId="0" applyFont="1" applyFill="1" applyBorder="1" applyAlignment="1" applyProtection="1">
      <alignment vertical="center"/>
      <protection locked="0" hidden="1"/>
    </xf>
    <xf numFmtId="0" fontId="0" fillId="2" borderId="1" xfId="0" applyFill="1" applyBorder="1" applyAlignment="1" applyProtection="1">
      <protection locked="0" hidden="1"/>
    </xf>
    <xf numFmtId="0" fontId="13" fillId="2" borderId="14" xfId="0" applyFont="1" applyFill="1" applyBorder="1" applyAlignment="1" applyProtection="1">
      <alignment vertical="center"/>
    </xf>
    <xf numFmtId="0" fontId="13" fillId="2" borderId="32" xfId="0" applyFont="1" applyFill="1" applyBorder="1" applyAlignment="1" applyProtection="1">
      <alignment vertical="center"/>
    </xf>
    <xf numFmtId="0" fontId="13" fillId="2" borderId="13" xfId="0" applyFont="1" applyFill="1" applyBorder="1" applyAlignment="1" applyProtection="1">
      <alignment vertical="center"/>
    </xf>
    <xf numFmtId="0" fontId="13" fillId="2" borderId="33" xfId="0" applyFont="1" applyFill="1" applyBorder="1" applyAlignment="1" applyProtection="1">
      <alignment vertical="center"/>
    </xf>
    <xf numFmtId="0" fontId="6" fillId="0" borderId="0" xfId="0" applyFont="1" applyFill="1"/>
    <xf numFmtId="0" fontId="6" fillId="0" borderId="0" xfId="0" applyFont="1" applyFill="1" applyAlignment="1"/>
    <xf numFmtId="0" fontId="6" fillId="0" borderId="0" xfId="0" applyNumberFormat="1" applyFont="1" applyAlignment="1"/>
    <xf numFmtId="0" fontId="6" fillId="0" borderId="0" xfId="0" applyNumberFormat="1" applyFont="1" applyFill="1" applyAlignment="1"/>
    <xf numFmtId="0" fontId="17" fillId="0" borderId="1" xfId="0" applyFont="1" applyFill="1" applyBorder="1" applyAlignment="1" applyProtection="1">
      <alignment wrapText="1"/>
      <protection locked="0" hidden="1"/>
    </xf>
    <xf numFmtId="0" fontId="17" fillId="2" borderId="1" xfId="0" applyFont="1" applyFill="1" applyBorder="1" applyAlignment="1" applyProtection="1">
      <alignment wrapText="1"/>
      <protection locked="0" hidden="1"/>
    </xf>
    <xf numFmtId="0" fontId="0" fillId="2" borderId="18" xfId="0" applyFont="1" applyFill="1" applyBorder="1" applyAlignment="1">
      <alignment horizontal="center"/>
    </xf>
    <xf numFmtId="0" fontId="0" fillId="2" borderId="19" xfId="0" applyFont="1" applyFill="1" applyBorder="1" applyAlignment="1">
      <alignment horizontal="center"/>
    </xf>
    <xf numFmtId="0" fontId="14" fillId="2" borderId="11"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4" fillId="2" borderId="36" xfId="0" applyFont="1" applyFill="1" applyBorder="1" applyAlignment="1">
      <alignment horizontal="center"/>
    </xf>
    <xf numFmtId="0" fontId="13" fillId="2" borderId="0" xfId="0" applyFont="1" applyFill="1" applyBorder="1" applyAlignment="1">
      <alignment vertical="center"/>
    </xf>
    <xf numFmtId="0" fontId="0" fillId="2" borderId="0" xfId="0" applyFont="1" applyFill="1" applyBorder="1" applyAlignment="1"/>
    <xf numFmtId="0" fontId="30" fillId="2" borderId="37" xfId="5" applyFont="1" applyFill="1" applyBorder="1" applyAlignment="1">
      <alignment horizontal="center" vertical="top"/>
    </xf>
    <xf numFmtId="0" fontId="21" fillId="2" borderId="38" xfId="5" applyFont="1" applyFill="1" applyBorder="1" applyAlignment="1">
      <alignment horizontal="center" vertical="top"/>
    </xf>
    <xf numFmtId="0" fontId="21" fillId="2" borderId="39" xfId="5" applyFont="1" applyFill="1" applyBorder="1" applyAlignment="1">
      <alignment horizontal="center" vertical="top"/>
    </xf>
    <xf numFmtId="0" fontId="23" fillId="2" borderId="40" xfId="5" applyFont="1" applyFill="1" applyBorder="1" applyAlignment="1">
      <alignment horizontal="center" vertical="center" wrapText="1"/>
    </xf>
    <xf numFmtId="0" fontId="24" fillId="2" borderId="40" xfId="5" applyFont="1" applyFill="1" applyBorder="1" applyAlignment="1">
      <alignment horizontal="center" vertical="center" wrapText="1"/>
    </xf>
    <xf numFmtId="0" fontId="43" fillId="2" borderId="34" xfId="0" applyFont="1" applyFill="1" applyBorder="1" applyAlignment="1" applyProtection="1">
      <alignment horizontal="center" vertical="center"/>
      <protection locked="0" hidden="1"/>
    </xf>
    <xf numFmtId="0" fontId="43" fillId="2" borderId="15" xfId="0" applyFont="1" applyFill="1" applyBorder="1" applyAlignment="1" applyProtection="1">
      <alignment horizontal="center" vertical="center"/>
      <protection locked="0" hidden="1"/>
    </xf>
    <xf numFmtId="0" fontId="43" fillId="2" borderId="35" xfId="0" applyFont="1" applyFill="1" applyBorder="1" applyAlignment="1" applyProtection="1">
      <alignment horizontal="center" vertical="center"/>
      <protection locked="0" hidden="1"/>
    </xf>
    <xf numFmtId="0" fontId="6" fillId="2" borderId="34" xfId="0" applyFont="1" applyFill="1" applyBorder="1" applyAlignment="1">
      <alignment horizontal="center" vertical="center"/>
    </xf>
    <xf numFmtId="0" fontId="0" fillId="2" borderId="15" xfId="0" applyFill="1" applyBorder="1" applyAlignment="1">
      <alignment horizontal="center" vertical="center"/>
    </xf>
    <xf numFmtId="0" fontId="0" fillId="2" borderId="35" xfId="0" applyFill="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11" xfId="0" applyFill="1" applyBorder="1" applyAlignment="1">
      <alignment horizontal="center"/>
    </xf>
    <xf numFmtId="0" fontId="0" fillId="2" borderId="31" xfId="0" applyFill="1" applyBorder="1" applyAlignment="1">
      <alignment horizontal="center"/>
    </xf>
    <xf numFmtId="0" fontId="17" fillId="2" borderId="34" xfId="0"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17" fillId="2" borderId="35" xfId="0" applyFont="1" applyFill="1" applyBorder="1" applyAlignment="1" applyProtection="1">
      <alignment horizontal="left" vertical="center"/>
      <protection locked="0"/>
    </xf>
    <xf numFmtId="0" fontId="19" fillId="2" borderId="31" xfId="0" applyFont="1" applyFill="1" applyBorder="1" applyAlignment="1" applyProtection="1">
      <alignment horizontal="center" vertical="center"/>
    </xf>
    <xf numFmtId="0" fontId="19" fillId="2" borderId="36" xfId="0" applyFont="1" applyFill="1" applyBorder="1" applyAlignment="1" applyProtection="1">
      <alignment horizontal="center" vertical="center"/>
    </xf>
    <xf numFmtId="0" fontId="69" fillId="2" borderId="0" xfId="1" applyFont="1" applyFill="1" applyBorder="1" applyAlignment="1" applyProtection="1">
      <alignment horizontal="center" vertical="center" wrapText="1"/>
      <protection hidden="1"/>
    </xf>
    <xf numFmtId="0" fontId="6" fillId="2" borderId="0" xfId="0" applyFont="1" applyFill="1" applyAlignment="1" applyProtection="1">
      <alignment horizontal="center"/>
    </xf>
    <xf numFmtId="0" fontId="0" fillId="2" borderId="0" xfId="0" applyFill="1" applyAlignment="1" applyProtection="1">
      <alignment horizontal="center"/>
    </xf>
    <xf numFmtId="0" fontId="16" fillId="2" borderId="15" xfId="0" applyFont="1" applyFill="1" applyBorder="1" applyAlignment="1" applyProtection="1">
      <alignment horizontal="left" wrapText="1"/>
      <protection hidden="1"/>
    </xf>
    <xf numFmtId="0" fontId="17" fillId="2" borderId="15" xfId="0" applyFont="1" applyFill="1" applyBorder="1" applyAlignment="1" applyProtection="1">
      <alignment horizontal="center" vertical="center"/>
    </xf>
    <xf numFmtId="0" fontId="61" fillId="0" borderId="34" xfId="1" applyFont="1" applyBorder="1" applyAlignment="1" applyProtection="1">
      <protection locked="0"/>
    </xf>
    <xf numFmtId="0" fontId="63" fillId="0" borderId="15" xfId="1" applyFont="1" applyBorder="1" applyAlignment="1" applyProtection="1">
      <protection locked="0"/>
    </xf>
    <xf numFmtId="0" fontId="63" fillId="0" borderId="35" xfId="1" applyFont="1" applyBorder="1" applyAlignment="1" applyProtection="1">
      <protection locked="0"/>
    </xf>
    <xf numFmtId="0" fontId="16" fillId="2" borderId="0" xfId="0" applyFont="1" applyFill="1" applyBorder="1" applyAlignment="1" applyProtection="1">
      <alignment horizontal="center" vertical="center" wrapText="1"/>
      <protection hidden="1"/>
    </xf>
    <xf numFmtId="0" fontId="17" fillId="2" borderId="28" xfId="0" applyFont="1" applyFill="1" applyBorder="1" applyAlignment="1" applyProtection="1">
      <alignment horizontal="left" vertical="center"/>
      <protection locked="0"/>
    </xf>
    <xf numFmtId="0" fontId="17" fillId="2" borderId="14"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6" fillId="2" borderId="41" xfId="0" applyFont="1" applyFill="1" applyBorder="1" applyAlignment="1" applyProtection="1">
      <alignment horizontal="right" vertical="center"/>
      <protection hidden="1"/>
    </xf>
    <xf numFmtId="0" fontId="16" fillId="2" borderId="20" xfId="0" applyFont="1" applyFill="1" applyBorder="1" applyAlignment="1" applyProtection="1">
      <alignment horizontal="right" vertical="center"/>
      <protection hidden="1"/>
    </xf>
    <xf numFmtId="165" fontId="16" fillId="2" borderId="34" xfId="0" applyNumberFormat="1" applyFont="1" applyFill="1" applyBorder="1" applyAlignment="1" applyProtection="1">
      <alignment horizontal="center" wrapText="1"/>
      <protection locked="0"/>
    </xf>
    <xf numFmtId="165" fontId="16" fillId="2" borderId="35" xfId="0" applyNumberFormat="1" applyFont="1" applyFill="1" applyBorder="1" applyAlignment="1" applyProtection="1">
      <alignment horizontal="center" wrapText="1"/>
      <protection locked="0"/>
    </xf>
    <xf numFmtId="0" fontId="0" fillId="2" borderId="8" xfId="0" applyFill="1" applyBorder="1" applyAlignment="1" applyProtection="1">
      <alignment horizontal="center" vertical="top" wrapText="1"/>
    </xf>
    <xf numFmtId="0" fontId="0" fillId="2" borderId="9" xfId="0" applyFill="1" applyBorder="1" applyAlignment="1" applyProtection="1">
      <alignment horizontal="center" vertical="top" wrapText="1"/>
    </xf>
    <xf numFmtId="0" fontId="0" fillId="2" borderId="10" xfId="0" applyFill="1" applyBorder="1" applyAlignment="1" applyProtection="1">
      <alignment horizontal="center" vertical="top" wrapText="1"/>
    </xf>
    <xf numFmtId="0" fontId="15" fillId="2" borderId="1" xfId="0" applyFont="1" applyFill="1" applyBorder="1" applyAlignment="1" applyProtection="1">
      <alignment horizontal="center" vertical="center"/>
    </xf>
    <xf numFmtId="0" fontId="17" fillId="2" borderId="23" xfId="0" applyFont="1" applyFill="1" applyBorder="1" applyAlignment="1" applyProtection="1">
      <alignment horizontal="left" vertical="center"/>
      <protection locked="0"/>
    </xf>
    <xf numFmtId="0" fontId="17" fillId="2" borderId="13" xfId="0" applyFont="1" applyFill="1" applyBorder="1" applyAlignment="1" applyProtection="1">
      <alignment horizontal="left" vertical="center"/>
      <protection locked="0"/>
    </xf>
    <xf numFmtId="0" fontId="17" fillId="2" borderId="33" xfId="0" applyFont="1" applyFill="1" applyBorder="1" applyAlignment="1" applyProtection="1">
      <alignment horizontal="left" vertical="center"/>
      <protection locked="0"/>
    </xf>
    <xf numFmtId="0" fontId="16" fillId="2" borderId="0" xfId="0" applyFont="1" applyFill="1" applyBorder="1" applyAlignment="1" applyProtection="1">
      <alignment horizontal="right" vertical="center" wrapText="1"/>
      <protection hidden="1"/>
    </xf>
    <xf numFmtId="0" fontId="51" fillId="2" borderId="0" xfId="1" applyFont="1" applyFill="1" applyBorder="1" applyAlignment="1" applyProtection="1">
      <alignment horizontal="center" vertical="center" wrapText="1"/>
      <protection hidden="1"/>
    </xf>
    <xf numFmtId="0" fontId="17" fillId="2" borderId="3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protection locked="0"/>
    </xf>
    <xf numFmtId="0" fontId="51" fillId="2" borderId="13" xfId="1" applyFont="1" applyFill="1" applyBorder="1" applyAlignment="1" applyProtection="1">
      <alignment horizontal="center"/>
      <protection hidden="1"/>
    </xf>
    <xf numFmtId="0" fontId="10" fillId="2" borderId="13" xfId="0" applyFont="1" applyFill="1" applyBorder="1" applyAlignment="1" applyProtection="1">
      <alignment horizontal="center" wrapText="1"/>
      <protection hidden="1"/>
    </xf>
    <xf numFmtId="0" fontId="51" fillId="2" borderId="14" xfId="1"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top" wrapText="1"/>
      <protection hidden="1"/>
    </xf>
    <xf numFmtId="0" fontId="16" fillId="2" borderId="13" xfId="0" applyFont="1" applyFill="1" applyBorder="1" applyAlignment="1" applyProtection="1">
      <alignment horizontal="center" wrapText="1"/>
    </xf>
    <xf numFmtId="0" fontId="51" fillId="0" borderId="14" xfId="1" applyFont="1" applyFill="1" applyBorder="1" applyAlignment="1" applyProtection="1">
      <alignment horizontal="center" vertical="center"/>
    </xf>
    <xf numFmtId="0" fontId="19" fillId="2" borderId="0" xfId="0" applyFont="1" applyFill="1" applyBorder="1" applyAlignment="1" applyProtection="1">
      <alignment horizontal="center" wrapText="1"/>
    </xf>
    <xf numFmtId="0" fontId="61" fillId="2" borderId="23" xfId="1" applyFont="1" applyFill="1" applyBorder="1" applyAlignment="1" applyProtection="1">
      <alignment horizontal="center" vertical="center"/>
      <protection hidden="1"/>
    </xf>
    <xf numFmtId="0" fontId="61" fillId="2" borderId="13" xfId="1" applyFont="1" applyFill="1" applyBorder="1" applyAlignment="1" applyProtection="1">
      <alignment horizontal="center" vertical="center"/>
      <protection hidden="1"/>
    </xf>
    <xf numFmtId="0" fontId="61" fillId="2" borderId="33" xfId="1" applyFont="1" applyFill="1" applyBorder="1" applyAlignment="1" applyProtection="1">
      <alignment horizontal="center" vertical="center"/>
      <protection hidden="1"/>
    </xf>
    <xf numFmtId="0" fontId="51" fillId="2" borderId="13" xfId="1" applyFont="1" applyFill="1" applyBorder="1" applyAlignment="1" applyProtection="1">
      <alignment horizontal="center" vertical="center" wrapText="1"/>
      <protection hidden="1"/>
    </xf>
    <xf numFmtId="0" fontId="61" fillId="2" borderId="13" xfId="1" applyFont="1" applyFill="1" applyBorder="1" applyAlignment="1" applyProtection="1">
      <alignment horizontal="center"/>
      <protection hidden="1"/>
    </xf>
    <xf numFmtId="0" fontId="13" fillId="2" borderId="8"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4" fillId="2" borderId="36" xfId="0" applyFont="1" applyFill="1" applyBorder="1" applyAlignment="1" applyProtection="1">
      <alignment horizontal="center" wrapText="1"/>
    </xf>
    <xf numFmtId="0" fontId="71" fillId="2" borderId="34" xfId="0" applyFont="1" applyFill="1" applyBorder="1" applyAlignment="1" applyProtection="1">
      <alignment horizontal="center" vertical="center" wrapText="1"/>
    </xf>
    <xf numFmtId="0" fontId="71" fillId="2" borderId="35" xfId="0" applyFont="1" applyFill="1" applyBorder="1" applyAlignment="1" applyProtection="1">
      <alignment horizontal="center" vertical="center" wrapText="1"/>
    </xf>
    <xf numFmtId="0" fontId="20" fillId="2" borderId="42" xfId="1" applyFont="1" applyFill="1" applyBorder="1" applyAlignment="1" applyProtection="1">
      <alignment horizontal="center" vertical="center"/>
      <protection locked="0" hidden="1"/>
    </xf>
    <xf numFmtId="0" fontId="0" fillId="0" borderId="0" xfId="0" applyAlignment="1">
      <alignment horizontal="center" vertical="center"/>
    </xf>
    <xf numFmtId="0" fontId="13" fillId="2" borderId="11" xfId="0" applyFont="1" applyFill="1" applyBorder="1" applyAlignment="1" applyProtection="1">
      <alignment horizontal="center" vertical="center" wrapText="1"/>
    </xf>
    <xf numFmtId="0" fontId="70" fillId="2" borderId="28"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0" fillId="2" borderId="23"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0" fontId="54" fillId="0" borderId="0" xfId="0" applyFont="1" applyAlignment="1" applyProtection="1">
      <alignment horizontal="center" wrapText="1"/>
      <protection hidden="1"/>
    </xf>
    <xf numFmtId="0" fontId="6" fillId="0" borderId="0" xfId="0" applyFont="1" applyAlignment="1" applyProtection="1">
      <alignment horizontal="center" wrapText="1"/>
      <protection hidden="1"/>
    </xf>
    <xf numFmtId="0" fontId="10" fillId="0" borderId="0" xfId="0" applyFont="1" applyAlignment="1" applyProtection="1">
      <alignment horizontal="center"/>
      <protection hidden="1"/>
    </xf>
    <xf numFmtId="0" fontId="62" fillId="0" borderId="0" xfId="0" applyFont="1" applyAlignment="1" applyProtection="1">
      <alignment horizontal="center" vertical="center" textRotation="90" wrapText="1"/>
      <protection hidden="1"/>
    </xf>
    <xf numFmtId="0" fontId="62" fillId="0" borderId="0" xfId="0" applyFont="1" applyAlignment="1" applyProtection="1">
      <alignment horizontal="center" vertical="center" textRotation="90"/>
      <protection hidden="1"/>
    </xf>
    <xf numFmtId="0" fontId="17" fillId="2" borderId="34" xfId="0" applyFont="1" applyFill="1" applyBorder="1" applyAlignment="1" applyProtection="1">
      <alignment horizontal="center" wrapText="1"/>
      <protection locked="0"/>
    </xf>
    <xf numFmtId="0" fontId="17" fillId="2" borderId="15" xfId="0" applyFont="1" applyFill="1" applyBorder="1" applyAlignment="1" applyProtection="1">
      <alignment horizontal="center" wrapText="1"/>
      <protection locked="0"/>
    </xf>
    <xf numFmtId="0" fontId="17" fillId="2" borderId="35" xfId="0" applyFont="1" applyFill="1" applyBorder="1" applyAlignment="1" applyProtection="1">
      <alignment horizontal="center" wrapText="1"/>
      <protection locked="0"/>
    </xf>
    <xf numFmtId="0" fontId="49" fillId="2" borderId="8" xfId="0" applyFont="1" applyFill="1" applyBorder="1" applyAlignment="1" applyProtection="1">
      <alignment horizontal="center" vertical="center" wrapText="1"/>
      <protection hidden="1"/>
    </xf>
    <xf numFmtId="0" fontId="49" fillId="2" borderId="9" xfId="0" applyFont="1" applyFill="1" applyBorder="1" applyAlignment="1" applyProtection="1">
      <alignment horizontal="center" vertical="center" wrapText="1"/>
      <protection hidden="1"/>
    </xf>
    <xf numFmtId="0" fontId="49" fillId="2" borderId="10" xfId="0" applyFont="1" applyFill="1" applyBorder="1" applyAlignment="1" applyProtection="1">
      <alignment horizontal="center" vertical="center" wrapText="1"/>
      <protection hidden="1"/>
    </xf>
    <xf numFmtId="0" fontId="13" fillId="2" borderId="11"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hidden="1"/>
    </xf>
    <xf numFmtId="0" fontId="13" fillId="2" borderId="43"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44" xfId="0" applyFont="1" applyFill="1" applyBorder="1" applyAlignment="1" applyProtection="1">
      <alignment horizontal="center" vertical="center" wrapText="1"/>
      <protection hidden="1"/>
    </xf>
    <xf numFmtId="0" fontId="13" fillId="2" borderId="45" xfId="0" applyFont="1" applyFill="1" applyBorder="1" applyAlignment="1" applyProtection="1">
      <alignment horizontal="center" vertical="center" wrapText="1"/>
      <protection hidden="1"/>
    </xf>
    <xf numFmtId="0" fontId="13" fillId="2" borderId="46"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wrapText="1"/>
      <protection hidden="1"/>
    </xf>
    <xf numFmtId="0" fontId="4" fillId="2" borderId="36" xfId="0" applyFont="1" applyFill="1" applyBorder="1" applyAlignment="1" applyProtection="1">
      <alignment horizontal="center" wrapText="1"/>
      <protection hidden="1"/>
    </xf>
  </cellXfs>
  <cellStyles count="6">
    <cellStyle name="Hyperlink" xfId="1" builtinId="8"/>
    <cellStyle name="Normal 2" xfId="2"/>
    <cellStyle name="Normal 4" xfId="3"/>
    <cellStyle name="Normal 5" xfId="4"/>
    <cellStyle name="Normal_Sheet1" xfId="5"/>
    <cellStyle name="Standard" xfId="0" builtinId="0"/>
  </cellStyles>
  <dxfs count="368">
    <dxf>
      <fill>
        <patternFill>
          <bgColor rgb="FFFF0000"/>
        </patternFill>
      </fill>
    </dxf>
    <dxf>
      <font>
        <color theme="0"/>
      </font>
      <fill>
        <patternFill>
          <bgColor theme="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1"/>
      </font>
      <fill>
        <patternFill>
          <bgColor rgb="FFFF0000"/>
        </patternFill>
      </fill>
    </dxf>
    <dxf>
      <fill>
        <patternFill>
          <bgColor rgb="FF92D050"/>
        </patternFill>
      </fill>
    </dxf>
    <dxf>
      <font>
        <color theme="0"/>
      </font>
    </dxf>
    <dxf>
      <fill>
        <patternFill>
          <bgColor rgb="FFFF000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patternType="solid">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color theme="0"/>
      </font>
    </dxf>
    <dxf>
      <font>
        <color theme="0"/>
      </font>
    </dxf>
    <dxf>
      <fill>
        <patternFill>
          <bgColor rgb="FFFF0000"/>
        </patternFill>
      </fill>
    </dxf>
    <dxf>
      <fill>
        <patternFill>
          <bgColor rgb="FF92D05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theme="1"/>
        </patternFill>
      </fill>
    </dxf>
    <dxf>
      <fill>
        <patternFill>
          <bgColor rgb="FFFFFF00"/>
        </patternFill>
      </fill>
    </dxf>
    <dxf>
      <font>
        <color auto="1"/>
      </font>
      <fill>
        <patternFill>
          <bgColor theme="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28575</xdr:rowOff>
    </xdr:from>
    <xdr:to>
      <xdr:col>7</xdr:col>
      <xdr:colOff>142875</xdr:colOff>
      <xdr:row>7</xdr:row>
      <xdr:rowOff>76200</xdr:rowOff>
    </xdr:to>
    <xdr:grpSp>
      <xdr:nvGrpSpPr>
        <xdr:cNvPr id="6145" name="Group 4"/>
        <xdr:cNvGrpSpPr>
          <a:grpSpLocks/>
        </xdr:cNvGrpSpPr>
      </xdr:nvGrpSpPr>
      <xdr:grpSpPr bwMode="auto">
        <a:xfrm>
          <a:off x="257175" y="200025"/>
          <a:ext cx="7210425" cy="1057275"/>
          <a:chOff x="225898" y="369094"/>
          <a:chExt cx="6065365" cy="1054777"/>
        </a:xfrm>
      </xdr:grpSpPr>
      <xdr:pic>
        <xdr:nvPicPr>
          <xdr:cNvPr id="6146"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614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152400</xdr:rowOff>
    </xdr:from>
    <xdr:to>
      <xdr:col>1</xdr:col>
      <xdr:colOff>6162675</xdr:colOff>
      <xdr:row>1</xdr:row>
      <xdr:rowOff>1209675</xdr:rowOff>
    </xdr:to>
    <xdr:grpSp>
      <xdr:nvGrpSpPr>
        <xdr:cNvPr id="1246" name="Group 4"/>
        <xdr:cNvGrpSpPr>
          <a:grpSpLocks/>
        </xdr:cNvGrpSpPr>
      </xdr:nvGrpSpPr>
      <xdr:grpSpPr bwMode="auto">
        <a:xfrm>
          <a:off x="219075" y="323850"/>
          <a:ext cx="6067425" cy="1057275"/>
          <a:chOff x="225898" y="369094"/>
          <a:chExt cx="6065365" cy="1054777"/>
        </a:xfrm>
      </xdr:grpSpPr>
      <xdr:pic>
        <xdr:nvPicPr>
          <xdr:cNvPr id="1247"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1248"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1</xdr:row>
      <xdr:rowOff>171450</xdr:rowOff>
    </xdr:from>
    <xdr:to>
      <xdr:col>7</xdr:col>
      <xdr:colOff>1895475</xdr:colOff>
      <xdr:row>2</xdr:row>
      <xdr:rowOff>1019175</xdr:rowOff>
    </xdr:to>
    <xdr:grpSp>
      <xdr:nvGrpSpPr>
        <xdr:cNvPr id="2059" name="Group 4"/>
        <xdr:cNvGrpSpPr>
          <a:grpSpLocks/>
        </xdr:cNvGrpSpPr>
      </xdr:nvGrpSpPr>
      <xdr:grpSpPr bwMode="auto">
        <a:xfrm>
          <a:off x="7362825" y="342900"/>
          <a:ext cx="7591425" cy="1190625"/>
          <a:chOff x="225898" y="369094"/>
          <a:chExt cx="6065365" cy="1054777"/>
        </a:xfrm>
      </xdr:grpSpPr>
      <xdr:pic>
        <xdr:nvPicPr>
          <xdr:cNvPr id="2060"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2061"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28575</xdr:rowOff>
    </xdr:from>
    <xdr:to>
      <xdr:col>3</xdr:col>
      <xdr:colOff>2809875</xdr:colOff>
      <xdr:row>2</xdr:row>
      <xdr:rowOff>666750</xdr:rowOff>
    </xdr:to>
    <xdr:grpSp>
      <xdr:nvGrpSpPr>
        <xdr:cNvPr id="7169" name="Group 1"/>
        <xdr:cNvGrpSpPr>
          <a:grpSpLocks/>
        </xdr:cNvGrpSpPr>
      </xdr:nvGrpSpPr>
      <xdr:grpSpPr bwMode="auto">
        <a:xfrm>
          <a:off x="161925" y="466725"/>
          <a:ext cx="8848725" cy="981075"/>
          <a:chOff x="225898" y="369094"/>
          <a:chExt cx="6065365" cy="1054777"/>
        </a:xfrm>
      </xdr:grpSpPr>
      <xdr:pic>
        <xdr:nvPicPr>
          <xdr:cNvPr id="7170" name="Picture 52"/>
          <xdr:cNvPicPr>
            <a:picLocks noChangeAspect="1" noChangeArrowheads="1"/>
          </xdr:cNvPicPr>
        </xdr:nvPicPr>
        <xdr:blipFill>
          <a:blip xmlns:r="http://schemas.openxmlformats.org/officeDocument/2006/relationships" r:embed="rId1"/>
          <a:srcRect/>
          <a:stretch>
            <a:fillRect/>
          </a:stretch>
        </xdr:blipFill>
        <xdr:spPr bwMode="auto">
          <a:xfrm>
            <a:off x="225898" y="396147"/>
            <a:ext cx="2465236" cy="1027724"/>
          </a:xfrm>
          <a:prstGeom prst="rect">
            <a:avLst/>
          </a:prstGeom>
          <a:noFill/>
          <a:ln w="9525">
            <a:noFill/>
            <a:miter lim="800000"/>
            <a:headEnd/>
            <a:tailEnd/>
          </a:ln>
        </xdr:spPr>
      </xdr:pic>
      <xdr:pic>
        <xdr:nvPicPr>
          <xdr:cNvPr id="7171"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flictfreesmelter.org/" TargetMode="External"/><Relationship Id="rId7" Type="http://schemas.openxmlformats.org/officeDocument/2006/relationships/comments" Target="../comments2.xml"/><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1"/>
  <dimension ref="A1:I22"/>
  <sheetViews>
    <sheetView topLeftCell="A12" workbookViewId="0">
      <selection activeCell="C15" sqref="C15"/>
    </sheetView>
  </sheetViews>
  <sheetFormatPr baseColWidth="10" defaultColWidth="9" defaultRowHeight="12.75"/>
  <cols>
    <col min="1" max="1" width="1.625" style="1" customWidth="1"/>
    <col min="2" max="2" width="25.625" style="1" bestFit="1" customWidth="1"/>
    <col min="3" max="3" width="16.625" style="1" customWidth="1"/>
    <col min="4" max="5" width="15" style="1" customWidth="1"/>
    <col min="6" max="6" width="14.625" style="1" customWidth="1"/>
    <col min="7" max="7" width="7.625" style="1" bestFit="1" customWidth="1"/>
    <col min="8" max="8" width="5.5" style="1" bestFit="1" customWidth="1"/>
    <col min="9" max="9" width="1.625" style="1" customWidth="1"/>
    <col min="10" max="16384" width="9" style="1"/>
  </cols>
  <sheetData>
    <row r="1" spans="1:9" ht="13.5" customHeight="1" thickTop="1">
      <c r="A1" s="24"/>
      <c r="B1" s="25"/>
      <c r="C1" s="25"/>
      <c r="D1" s="25"/>
      <c r="E1" s="25"/>
      <c r="F1" s="25"/>
      <c r="G1" s="25"/>
      <c r="H1" s="25"/>
      <c r="I1" s="26"/>
    </row>
    <row r="2" spans="1:9">
      <c r="A2" s="227"/>
      <c r="B2" s="230"/>
      <c r="C2" s="231"/>
      <c r="D2" s="231"/>
      <c r="E2" s="231"/>
      <c r="F2" s="231"/>
      <c r="G2" s="231"/>
      <c r="H2" s="231"/>
      <c r="I2" s="225"/>
    </row>
    <row r="3" spans="1:9">
      <c r="A3" s="227"/>
      <c r="B3" s="5"/>
      <c r="C3" s="5"/>
      <c r="D3" s="5"/>
      <c r="E3" s="5"/>
      <c r="F3" s="5"/>
      <c r="G3" s="5"/>
      <c r="H3" s="5"/>
      <c r="I3" s="225"/>
    </row>
    <row r="4" spans="1:9" ht="15.75">
      <c r="A4" s="227"/>
      <c r="B4" s="8"/>
      <c r="C4" s="8"/>
      <c r="D4" s="8"/>
      <c r="E4" s="8"/>
      <c r="F4" s="8"/>
      <c r="G4" s="8"/>
      <c r="H4" s="8"/>
      <c r="I4" s="225"/>
    </row>
    <row r="5" spans="1:9">
      <c r="A5" s="227"/>
      <c r="B5" s="3"/>
      <c r="C5" s="3"/>
      <c r="D5" s="3"/>
      <c r="E5" s="3"/>
      <c r="F5" s="3"/>
      <c r="G5" s="3"/>
      <c r="H5" s="3"/>
      <c r="I5" s="225"/>
    </row>
    <row r="6" spans="1:9">
      <c r="A6" s="227"/>
      <c r="B6" s="23"/>
      <c r="C6" s="23"/>
      <c r="D6" s="23"/>
      <c r="E6" s="23"/>
      <c r="F6" s="23"/>
      <c r="G6" s="23"/>
      <c r="H6" s="23"/>
      <c r="I6" s="225"/>
    </row>
    <row r="7" spans="1:9">
      <c r="A7" s="227"/>
      <c r="B7" s="23"/>
      <c r="C7" s="23"/>
      <c r="D7" s="23"/>
      <c r="E7" s="23"/>
      <c r="F7" s="23"/>
      <c r="G7" s="23"/>
      <c r="H7" s="23"/>
      <c r="I7" s="225"/>
    </row>
    <row r="8" spans="1:9">
      <c r="A8" s="227"/>
      <c r="B8" s="23"/>
      <c r="C8" s="23"/>
      <c r="D8" s="23"/>
      <c r="E8" s="23"/>
      <c r="F8" s="23"/>
      <c r="G8" s="23"/>
      <c r="H8" s="23"/>
      <c r="I8" s="225"/>
    </row>
    <row r="9" spans="1:9" ht="13.5" thickBot="1">
      <c r="A9" s="227"/>
      <c r="B9" s="23"/>
      <c r="C9" s="23"/>
      <c r="D9" s="23"/>
      <c r="E9" s="23"/>
      <c r="F9" s="23"/>
      <c r="G9" s="23"/>
      <c r="H9" s="23"/>
      <c r="I9" s="225"/>
    </row>
    <row r="10" spans="1:9" ht="18.75" thickBot="1">
      <c r="A10" s="227"/>
      <c r="F10" s="232" t="s">
        <v>1825</v>
      </c>
      <c r="G10" s="233"/>
      <c r="H10" s="234"/>
      <c r="I10" s="225"/>
    </row>
    <row r="11" spans="1:9" ht="21" thickBot="1">
      <c r="A11" s="227"/>
      <c r="B11" s="13" t="s">
        <v>1829</v>
      </c>
      <c r="C11" s="12"/>
      <c r="D11" s="12"/>
      <c r="E11" s="12"/>
      <c r="F11" s="235" t="s">
        <v>1776</v>
      </c>
      <c r="G11" s="236"/>
      <c r="H11" s="236"/>
      <c r="I11" s="225"/>
    </row>
    <row r="12" spans="1:9" ht="32.25" thickBot="1">
      <c r="A12" s="227"/>
      <c r="B12" s="14" t="s">
        <v>1827</v>
      </c>
      <c r="C12" s="15" t="s">
        <v>1830</v>
      </c>
      <c r="D12" s="15" t="s">
        <v>1831</v>
      </c>
      <c r="E12" s="16" t="s">
        <v>1832</v>
      </c>
      <c r="F12" s="236"/>
      <c r="G12" s="236"/>
      <c r="H12" s="236"/>
      <c r="I12" s="225"/>
    </row>
    <row r="13" spans="1:9" ht="30.75" thickBot="1">
      <c r="A13" s="227"/>
      <c r="B13" s="17">
        <v>1</v>
      </c>
      <c r="C13" s="18" t="s">
        <v>1833</v>
      </c>
      <c r="D13" s="18" t="s">
        <v>1938</v>
      </c>
      <c r="E13" s="19" t="s">
        <v>1955</v>
      </c>
      <c r="F13" s="236"/>
      <c r="G13" s="236"/>
      <c r="H13" s="236"/>
      <c r="I13" s="225"/>
    </row>
    <row r="14" spans="1:9" ht="135.75" thickBot="1">
      <c r="A14" s="227"/>
      <c r="B14" s="17">
        <v>2</v>
      </c>
      <c r="C14" s="18" t="s">
        <v>927</v>
      </c>
      <c r="D14" s="18" t="s">
        <v>1938</v>
      </c>
      <c r="E14" s="19" t="s">
        <v>926</v>
      </c>
      <c r="F14" s="236"/>
      <c r="G14" s="236"/>
      <c r="H14" s="236"/>
      <c r="I14" s="225"/>
    </row>
    <row r="15" spans="1:9" ht="75.75" thickBot="1">
      <c r="A15" s="227"/>
      <c r="B15" s="20">
        <v>2.0099999999999998</v>
      </c>
      <c r="C15" s="21" t="s">
        <v>34</v>
      </c>
      <c r="D15" s="18" t="s">
        <v>1938</v>
      </c>
      <c r="E15" s="22" t="s">
        <v>152</v>
      </c>
      <c r="F15" s="236"/>
      <c r="G15" s="236"/>
      <c r="H15" s="236"/>
      <c r="I15" s="225"/>
    </row>
    <row r="16" spans="1:9" ht="15.75" thickBot="1">
      <c r="A16" s="227"/>
      <c r="B16" s="20"/>
      <c r="C16" s="21"/>
      <c r="D16" s="21"/>
      <c r="E16" s="22"/>
      <c r="F16" s="236"/>
      <c r="G16" s="236"/>
      <c r="H16" s="236"/>
      <c r="I16" s="225"/>
    </row>
    <row r="17" spans="1:9" ht="15.75" thickBot="1">
      <c r="A17" s="227"/>
      <c r="B17" s="20"/>
      <c r="C17" s="21"/>
      <c r="D17" s="21"/>
      <c r="E17" s="22"/>
      <c r="F17" s="236"/>
      <c r="G17" s="236"/>
      <c r="H17" s="236"/>
      <c r="I17" s="225"/>
    </row>
    <row r="18" spans="1:9" ht="15">
      <c r="A18" s="227"/>
      <c r="B18" s="20"/>
      <c r="C18" s="21"/>
      <c r="D18" s="21"/>
      <c r="E18" s="22"/>
      <c r="F18" s="9" t="s">
        <v>1826</v>
      </c>
      <c r="G18" s="10" t="s">
        <v>1827</v>
      </c>
      <c r="H18" s="10" t="s">
        <v>1828</v>
      </c>
      <c r="I18" s="225"/>
    </row>
    <row r="19" spans="1:9" ht="15.75" thickBot="1">
      <c r="A19" s="227"/>
      <c r="B19" s="20"/>
      <c r="C19" s="21"/>
      <c r="D19" s="21"/>
      <c r="E19" s="22"/>
      <c r="F19" s="11"/>
      <c r="G19" s="11">
        <v>2</v>
      </c>
      <c r="H19" s="11" t="s">
        <v>1563</v>
      </c>
      <c r="I19" s="225"/>
    </row>
    <row r="20" spans="1:9">
      <c r="A20" s="227"/>
      <c r="B20" s="12"/>
      <c r="C20" s="12"/>
      <c r="D20" s="12"/>
      <c r="E20" s="12"/>
      <c r="F20" s="12"/>
      <c r="G20" s="12"/>
      <c r="H20" s="12"/>
      <c r="I20" s="225"/>
    </row>
    <row r="21" spans="1:9" ht="13.5" thickBot="1">
      <c r="A21" s="228"/>
      <c r="B21" s="229" t="s">
        <v>1849</v>
      </c>
      <c r="C21" s="229"/>
      <c r="D21" s="229"/>
      <c r="E21" s="229"/>
      <c r="F21" s="229"/>
      <c r="G21" s="229"/>
      <c r="H21" s="229"/>
      <c r="I21" s="226"/>
    </row>
    <row r="22" spans="1:9" ht="13.5" thickTop="1">
      <c r="A22" s="4"/>
      <c r="B22" s="23"/>
      <c r="C22" s="23"/>
      <c r="D22" s="23"/>
      <c r="E22" s="23"/>
      <c r="F22" s="23"/>
      <c r="G22" s="23"/>
      <c r="H22" s="23"/>
      <c r="I22" s="23"/>
    </row>
  </sheetData>
  <sheetProtection password="C453" sheet="1" objects="1" scenarios="1"/>
  <customSheetViews>
    <customSheetView guid="{81CF54B1-70AB-4A68-BB72-21925B5D4874}" state="hidden">
      <selection activeCell="E26" sqref="E26"/>
      <pageMargins left="0.7" right="0.7" top="0.75" bottom="0.75" header="0.3" footer="0.3"/>
      <pageSetup orientation="portrait" r:id="rId1"/>
    </customSheetView>
  </customSheetViews>
  <mergeCells count="6">
    <mergeCell ref="I2:I21"/>
    <mergeCell ref="A2:A21"/>
    <mergeCell ref="B21:H21"/>
    <mergeCell ref="B2:H2"/>
    <mergeCell ref="F10:H10"/>
    <mergeCell ref="F11:H17"/>
  </mergeCells>
  <phoneticPr fontId="0" type="noConversion"/>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codeName="Sheet2"/>
  <dimension ref="A1:P67"/>
  <sheetViews>
    <sheetView topLeftCell="A4" zoomScale="70" zoomScaleNormal="70" workbookViewId="0">
      <selection activeCell="C7" sqref="C7:G7"/>
    </sheetView>
  </sheetViews>
  <sheetFormatPr baseColWidth="10" defaultColWidth="9" defaultRowHeight="12.75"/>
  <cols>
    <col min="1" max="1" width="111.875" customWidth="1"/>
    <col min="2" max="2" width="0.875" customWidth="1"/>
    <col min="3" max="6" width="8.25" customWidth="1"/>
    <col min="7" max="7" width="6.375" customWidth="1"/>
    <col min="8" max="8" width="2" customWidth="1"/>
    <col min="9" max="12" width="9" style="163" hidden="1" customWidth="1"/>
    <col min="13" max="16" width="8.75" style="163" hidden="1" customWidth="1"/>
  </cols>
  <sheetData>
    <row r="1" spans="1:16" ht="69" customHeight="1">
      <c r="A1" s="77" t="str">
        <f>IF($C$4="English",I2,IF($C$4="中文 Chinese",J2,IF($C$4="日本語 Japanese",K2,IF($C$4="한국어 Korean",L2,IF($C$4="Français",M2,IF($C$4="Português",N2,IF($C$4="Deutsch",O2,IF($C$4="Español",P2))))))))</f>
        <v>EICC Extractives website: (www.eicc.info/extractives.htm)
training, request template, FAQs, Conflict-Free Smelters (CFS) list</v>
      </c>
      <c r="C1" s="243" t="s">
        <v>1162</v>
      </c>
      <c r="D1" s="243"/>
      <c r="E1" s="243"/>
      <c r="F1" s="243"/>
      <c r="G1" s="243"/>
      <c r="I1" s="95" t="s">
        <v>1853</v>
      </c>
      <c r="J1" s="95" t="s">
        <v>1854</v>
      </c>
      <c r="K1" s="95" t="s">
        <v>1855</v>
      </c>
      <c r="L1" s="95" t="s">
        <v>1856</v>
      </c>
      <c r="M1" s="95" t="s">
        <v>1355</v>
      </c>
      <c r="N1" s="95" t="s">
        <v>1356</v>
      </c>
      <c r="O1" s="95" t="s">
        <v>1357</v>
      </c>
      <c r="P1" s="95" t="s">
        <v>1116</v>
      </c>
    </row>
    <row r="2" spans="1:16" ht="15.75">
      <c r="A2" s="77" t="str">
        <f>IF($C$4="English",I3,IF($C$4="中文 Chinese",J3,IF($C$4="日本語 Japanese",K3,IF($C$4="한국어 Korean",L3,IF($C$4="Français",M3,IF($C$4="Português",N3,IF($C$4="Deutsch",O3,IF($C$4="Español",P3))))))))</f>
        <v>Introduction</v>
      </c>
      <c r="C2" s="244"/>
      <c r="D2" s="244"/>
      <c r="E2" s="244"/>
      <c r="F2" s="244"/>
      <c r="G2" s="244"/>
      <c r="I2" s="84" t="s">
        <v>1852</v>
      </c>
      <c r="J2" s="84" t="s">
        <v>1568</v>
      </c>
      <c r="K2" s="84" t="s">
        <v>1569</v>
      </c>
      <c r="L2" s="84" t="s">
        <v>2</v>
      </c>
      <c r="M2" s="84" t="s">
        <v>1570</v>
      </c>
      <c r="N2" s="84" t="s">
        <v>1571</v>
      </c>
      <c r="O2" s="84" t="s">
        <v>1115</v>
      </c>
      <c r="P2" s="84" t="s">
        <v>1117</v>
      </c>
    </row>
    <row r="3" spans="1:16" ht="139.9" customHeight="1">
      <c r="A3" s="77" t="str">
        <f>IF($C$4="English",I4,IF($C$4="中文 Chinese",J4,IF($C$4="日本語 Japanese",K4,IF($C$4="한국어 Korean",L4,IF($C$4="Français",M4,IF($C$4="Português",N4,IF($C$4="Deutsch",O4,IF($C$4="Español",P4))))))))</f>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C3" s="244"/>
      <c r="D3" s="244"/>
      <c r="E3" s="244"/>
      <c r="F3" s="244"/>
      <c r="G3" s="244"/>
      <c r="I3" s="85" t="s">
        <v>1834</v>
      </c>
      <c r="J3" s="85" t="s">
        <v>1904</v>
      </c>
      <c r="K3" s="85" t="s">
        <v>1905</v>
      </c>
      <c r="L3" s="85" t="s">
        <v>1572</v>
      </c>
      <c r="M3" s="85" t="s">
        <v>1834</v>
      </c>
      <c r="N3" s="85" t="s">
        <v>1573</v>
      </c>
      <c r="O3" s="85" t="s">
        <v>1574</v>
      </c>
      <c r="P3" s="85" t="s">
        <v>1118</v>
      </c>
    </row>
    <row r="4" spans="1:16" ht="189" customHeight="1">
      <c r="A4" s="77" t="str">
        <f>IF($C$4="English",I5,IF($C$4="中文 Chinese",J5,IF($C$4="日本語 Japanese",K5,IF($C$4="한국어 Korean",L5,IF($C$4="Français",M5,IF($C$4="Português",N5,IF($C$4="Deutsch",O5,IF($C$4="Español",P5))))))))</f>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C4" s="237" t="s">
        <v>1853</v>
      </c>
      <c r="D4" s="238"/>
      <c r="E4" s="238"/>
      <c r="F4" s="238"/>
      <c r="G4" s="239"/>
      <c r="I4" s="86" t="s">
        <v>2559</v>
      </c>
      <c r="J4" s="86" t="s">
        <v>1575</v>
      </c>
      <c r="K4" s="86" t="s">
        <v>1576</v>
      </c>
      <c r="L4" s="86" t="s">
        <v>3</v>
      </c>
      <c r="M4" s="86" t="s">
        <v>1577</v>
      </c>
      <c r="N4" s="86" t="s">
        <v>1578</v>
      </c>
      <c r="O4" s="86" t="s">
        <v>981</v>
      </c>
      <c r="P4" s="86" t="s">
        <v>1119</v>
      </c>
    </row>
    <row r="5" spans="1:16" ht="19.5">
      <c r="A5" s="78"/>
      <c r="I5" s="207" t="s">
        <v>462</v>
      </c>
      <c r="J5" s="207" t="s">
        <v>483</v>
      </c>
      <c r="K5" s="207" t="s">
        <v>33</v>
      </c>
      <c r="L5" s="207" t="s">
        <v>484</v>
      </c>
      <c r="M5" s="207" t="s">
        <v>485</v>
      </c>
      <c r="N5" s="207" t="s">
        <v>486</v>
      </c>
      <c r="O5" s="207" t="s">
        <v>487</v>
      </c>
      <c r="P5" s="207" t="s">
        <v>488</v>
      </c>
    </row>
    <row r="6" spans="1:16" ht="31.5">
      <c r="A6" s="77" t="str">
        <f>IF($C$4="English",I6,IF($C$4="中文 Chinese",J6,IF($C$4="日本語 Japanese",K6,IF($C$4="한국어 Korean",L6,IF($C$4="Français",M6,IF($C$4="Português",N6,IF($C$4="Deutsch",O6,IF($C$4="Español",P6))))))))</f>
        <v>Instructions for completing Company Information questions (rows 7 - 17).
Provide comments in ENGLISH only</v>
      </c>
      <c r="I6" s="89" t="s">
        <v>2597</v>
      </c>
      <c r="J6" s="89" t="s">
        <v>1875</v>
      </c>
      <c r="K6" s="89" t="s">
        <v>1579</v>
      </c>
      <c r="L6" s="89" t="s">
        <v>1580</v>
      </c>
      <c r="M6" s="89" t="s">
        <v>809</v>
      </c>
      <c r="N6" s="89" t="s">
        <v>1581</v>
      </c>
      <c r="O6" s="89" t="s">
        <v>982</v>
      </c>
      <c r="P6" s="89" t="s">
        <v>824</v>
      </c>
    </row>
    <row r="7" spans="1:16" ht="18">
      <c r="A7" s="77" t="str">
        <f t="shared" ref="A7:A14" si="0">IF($C$4="English",I7,IF($C$4="中文 Chinese",J7,IF($C$4="日本語 Japanese",K7,IF($C$4="한국어 Korean",L7,IF($C$4="Français",M7,IF($C$4="Português",N7,IF($C$4="Deutsch",O7,IF($C$4="Español",P7))))))))</f>
        <v xml:space="preserve">     Note:  Entries with (*) are mandatory fields. </v>
      </c>
      <c r="C7" s="240" t="s">
        <v>153</v>
      </c>
      <c r="D7" s="241"/>
      <c r="E7" s="241"/>
      <c r="F7" s="241"/>
      <c r="G7" s="242"/>
      <c r="I7" s="90" t="s">
        <v>1851</v>
      </c>
      <c r="J7" s="90" t="s">
        <v>1876</v>
      </c>
      <c r="K7" s="90" t="s">
        <v>1582</v>
      </c>
      <c r="L7" s="90" t="s">
        <v>1583</v>
      </c>
      <c r="M7" s="90" t="s">
        <v>1584</v>
      </c>
      <c r="N7" s="90" t="s">
        <v>1585</v>
      </c>
      <c r="O7" s="90" t="s">
        <v>983</v>
      </c>
      <c r="P7" s="90" t="s">
        <v>1120</v>
      </c>
    </row>
    <row r="8" spans="1:16" ht="15.75">
      <c r="A8" s="77" t="str">
        <f t="shared" si="0"/>
        <v>1.  Insert your company's Legal Name.  Please do not use abbreviations</v>
      </c>
      <c r="I8" s="87" t="s">
        <v>2560</v>
      </c>
      <c r="J8" s="87" t="s">
        <v>1586</v>
      </c>
      <c r="K8" s="87" t="s">
        <v>1587</v>
      </c>
      <c r="L8" s="87" t="s">
        <v>1588</v>
      </c>
      <c r="M8" s="87" t="s">
        <v>821</v>
      </c>
      <c r="N8" s="87" t="s">
        <v>1589</v>
      </c>
      <c r="O8" s="87" t="s">
        <v>984</v>
      </c>
      <c r="P8" s="87" t="s">
        <v>1121</v>
      </c>
    </row>
    <row r="9" spans="1:16" ht="82.9" customHeight="1">
      <c r="A9" s="77" t="str">
        <f t="shared" si="0"/>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I9" s="87" t="s">
        <v>2561</v>
      </c>
      <c r="J9" s="87" t="s">
        <v>1590</v>
      </c>
      <c r="K9" s="87" t="s">
        <v>1591</v>
      </c>
      <c r="L9" s="87" t="s">
        <v>1592</v>
      </c>
      <c r="M9" s="87" t="s">
        <v>1593</v>
      </c>
      <c r="N9" s="87" t="s">
        <v>1594</v>
      </c>
      <c r="O9" s="87" t="s">
        <v>985</v>
      </c>
      <c r="P9" s="87" t="s">
        <v>1122</v>
      </c>
    </row>
    <row r="10" spans="1:16" ht="15.75">
      <c r="A10" s="77" t="str">
        <f t="shared" si="0"/>
        <v>3.  Insert your company’s unique identifier number or code (DUNS number, VAT number, etc)</v>
      </c>
      <c r="I10" s="87" t="s">
        <v>2562</v>
      </c>
      <c r="J10" s="87" t="s">
        <v>1595</v>
      </c>
      <c r="K10" s="87" t="s">
        <v>1596</v>
      </c>
      <c r="L10" s="87" t="s">
        <v>1597</v>
      </c>
      <c r="M10" s="87" t="s">
        <v>1598</v>
      </c>
      <c r="N10" s="87" t="s">
        <v>1599</v>
      </c>
      <c r="O10" s="87" t="s">
        <v>986</v>
      </c>
      <c r="P10" s="87" t="s">
        <v>1123</v>
      </c>
    </row>
    <row r="11" spans="1:16" ht="15.75">
      <c r="A11" s="77" t="str">
        <f t="shared" si="0"/>
        <v>4.  Insert your full company address (street, city, state, country, postal code)</v>
      </c>
      <c r="I11" s="87" t="s">
        <v>2563</v>
      </c>
      <c r="J11" s="87" t="s">
        <v>1600</v>
      </c>
      <c r="K11" s="87" t="s">
        <v>1601</v>
      </c>
      <c r="L11" s="87" t="s">
        <v>1602</v>
      </c>
      <c r="M11" s="87" t="s">
        <v>1603</v>
      </c>
      <c r="N11" s="87" t="s">
        <v>1604</v>
      </c>
      <c r="O11" s="87" t="s">
        <v>1605</v>
      </c>
      <c r="P11" s="87" t="s">
        <v>1124</v>
      </c>
    </row>
    <row r="12" spans="1:16" ht="40.9" customHeight="1">
      <c r="A12" s="77" t="str">
        <f t="shared" si="0"/>
        <v>5.  Please identify the authorized management representative responsible for the accuracy of the data in this template.</v>
      </c>
      <c r="I12" s="87" t="s">
        <v>467</v>
      </c>
      <c r="J12" s="87" t="s">
        <v>1606</v>
      </c>
      <c r="K12" s="87" t="s">
        <v>1607</v>
      </c>
      <c r="L12" s="87" t="s">
        <v>1608</v>
      </c>
      <c r="M12" s="87" t="s">
        <v>1609</v>
      </c>
      <c r="N12" s="87" t="s">
        <v>1610</v>
      </c>
      <c r="O12" s="87" t="s">
        <v>1611</v>
      </c>
      <c r="P12" s="87" t="s">
        <v>1125</v>
      </c>
    </row>
    <row r="13" spans="1:16" ht="25.15" customHeight="1">
      <c r="A13" s="77" t="str">
        <f t="shared" si="0"/>
        <v>7.  Please enter the Date of Completion for this form using the format DD-MMM-YYYY</v>
      </c>
      <c r="I13" s="87" t="s">
        <v>2564</v>
      </c>
      <c r="J13" s="87" t="s">
        <v>1612</v>
      </c>
      <c r="K13" s="87" t="s">
        <v>1613</v>
      </c>
      <c r="L13" s="87" t="s">
        <v>1614</v>
      </c>
      <c r="M13" s="87" t="s">
        <v>1615</v>
      </c>
      <c r="N13" s="87" t="s">
        <v>1616</v>
      </c>
      <c r="O13" s="87" t="s">
        <v>987</v>
      </c>
      <c r="P13" s="87" t="s">
        <v>1126</v>
      </c>
    </row>
    <row r="14" spans="1:16" ht="39.6" customHeight="1">
      <c r="A14" s="77" t="str">
        <f t="shared" si="0"/>
        <v>8.  Save the file name as:  companyname-date.xls (date as YYYY-MM-DD)</v>
      </c>
      <c r="I14" s="87" t="s">
        <v>2565</v>
      </c>
      <c r="J14" s="87" t="s">
        <v>1617</v>
      </c>
      <c r="K14" s="87" t="s">
        <v>1618</v>
      </c>
      <c r="L14" s="87" t="s">
        <v>1619</v>
      </c>
      <c r="M14" s="87" t="s">
        <v>1620</v>
      </c>
      <c r="N14" s="87" t="s">
        <v>1621</v>
      </c>
      <c r="O14" s="87" t="s">
        <v>988</v>
      </c>
      <c r="P14" s="87" t="s">
        <v>1127</v>
      </c>
    </row>
    <row r="15" spans="1:16" ht="23.25">
      <c r="A15" s="78"/>
      <c r="I15" s="89" t="s">
        <v>2598</v>
      </c>
      <c r="J15" s="89" t="s">
        <v>1622</v>
      </c>
      <c r="K15" s="89" t="s">
        <v>1623</v>
      </c>
      <c r="L15" s="89" t="s">
        <v>1624</v>
      </c>
      <c r="M15" s="89" t="s">
        <v>1625</v>
      </c>
      <c r="N15" s="89" t="s">
        <v>1626</v>
      </c>
      <c r="O15" s="89" t="s">
        <v>989</v>
      </c>
      <c r="P15" s="89" t="s">
        <v>1128</v>
      </c>
    </row>
    <row r="16" spans="1:16" ht="31.5">
      <c r="A16" s="77" t="str">
        <f>IF($C$4="English",I15,IF($C$4="中文 Chinese",J15,IF($C$4="日本語 Japanese",K15,IF($C$4="한국어 Korean",L15,IF($C$4="Français",M15,IF($C$4="Português",N15,IF($C$4="Deutsch",O15,IF($C$4="Español",P15))))))))</f>
        <v>Instructions for completing the six Due Diligence Questions (rows 21 - 51).
Provide answers in ENGLISH only</v>
      </c>
      <c r="I16" s="88" t="s">
        <v>2599</v>
      </c>
      <c r="J16" s="88" t="s">
        <v>1627</v>
      </c>
      <c r="K16" s="88" t="s">
        <v>1628</v>
      </c>
      <c r="L16" s="88" t="s">
        <v>1629</v>
      </c>
      <c r="M16" s="88" t="s">
        <v>1630</v>
      </c>
      <c r="N16" s="88" t="s">
        <v>1631</v>
      </c>
      <c r="O16" s="88" t="s">
        <v>990</v>
      </c>
      <c r="P16" s="88" t="s">
        <v>1129</v>
      </c>
    </row>
    <row r="17" spans="1:16" ht="57.6" customHeight="1">
      <c r="A17" s="77" t="str">
        <f t="shared" ref="A17:A27" si="1">IF($C$4="English",I16,IF($C$4="中文 Chinese",J16,IF($C$4="日本語 Japanese",K16,IF($C$4="한국어 Korean",L16,IF($C$4="Français",M16,IF($C$4="Português",N16,IF($C$4="Deutsch",O16,IF($C$4="Español",P16))))))))</f>
        <v>These six questions define the usage, origination and sourcing identification for each of the metals. Responses to these questions shall represent the ‘Declaration Scope’ selected in the company information section.</v>
      </c>
      <c r="I17" s="87" t="s">
        <v>2600</v>
      </c>
      <c r="J17" s="87" t="s">
        <v>1632</v>
      </c>
      <c r="K17" s="87" t="s">
        <v>1633</v>
      </c>
      <c r="L17" s="87" t="s">
        <v>1634</v>
      </c>
      <c r="M17" s="87" t="s">
        <v>1635</v>
      </c>
      <c r="N17" s="87" t="s">
        <v>1636</v>
      </c>
      <c r="O17" s="87" t="s">
        <v>991</v>
      </c>
      <c r="P17" s="87" t="s">
        <v>1130</v>
      </c>
    </row>
    <row r="18" spans="1:16" ht="51" customHeight="1">
      <c r="A18" s="77" t="str">
        <f t="shared" si="1"/>
        <v>For each of the six required questions, provide an answer for each metal using the pull down menu selections.</v>
      </c>
      <c r="I18" s="87" t="s">
        <v>2601</v>
      </c>
      <c r="J18" s="87" t="s">
        <v>1637</v>
      </c>
      <c r="K18" s="87" t="s">
        <v>1638</v>
      </c>
      <c r="L18" s="87" t="s">
        <v>1639</v>
      </c>
      <c r="M18" s="87" t="s">
        <v>1640</v>
      </c>
      <c r="N18" s="87" t="s">
        <v>1641</v>
      </c>
      <c r="O18" s="87" t="s">
        <v>992</v>
      </c>
      <c r="P18" s="87" t="s">
        <v>1131</v>
      </c>
    </row>
    <row r="19" spans="1:16" ht="57" customHeight="1">
      <c r="A19" s="77" t="str">
        <f t="shared" si="1"/>
        <v>1. If the answer provided for any metal listed is “No”, all remaining fields within this section will be highlighted black, indicating that no further responses are required and your declaration is considered complete.</v>
      </c>
      <c r="I19" s="87" t="s">
        <v>2602</v>
      </c>
      <c r="J19" s="87" t="s">
        <v>1642</v>
      </c>
      <c r="K19" s="87" t="s">
        <v>1643</v>
      </c>
      <c r="L19" s="87" t="s">
        <v>1644</v>
      </c>
      <c r="M19" s="87" t="s">
        <v>1645</v>
      </c>
      <c r="N19" s="87" t="s">
        <v>1646</v>
      </c>
      <c r="O19" s="87" t="s">
        <v>993</v>
      </c>
      <c r="P19" s="87" t="s">
        <v>1132</v>
      </c>
    </row>
    <row r="20" spans="1:16" ht="37.15" customHeight="1">
      <c r="A20" s="77" t="str">
        <f t="shared" si="1"/>
        <v>If the answer provided for any metal listed is “Yes”, responses are required for Questions 2 through 6, as indicated by the yellow highlighted fields.</v>
      </c>
      <c r="I20" s="87" t="s">
        <v>2603</v>
      </c>
      <c r="J20" s="87" t="s">
        <v>1647</v>
      </c>
      <c r="K20" s="87" t="s">
        <v>1648</v>
      </c>
      <c r="L20" s="87" t="s">
        <v>1649</v>
      </c>
      <c r="M20" s="87" t="s">
        <v>1650</v>
      </c>
      <c r="N20" s="87" t="s">
        <v>1651</v>
      </c>
      <c r="O20" s="87" t="s">
        <v>994</v>
      </c>
      <c r="P20" s="87" t="s">
        <v>1133</v>
      </c>
    </row>
    <row r="21" spans="1:16" ht="29.45" customHeight="1">
      <c r="A21" s="77" t="str">
        <f t="shared" si="1"/>
        <v>2 and 3. For each metal, select the appropriate response regarding its origination.</v>
      </c>
      <c r="I21" s="87" t="s">
        <v>2604</v>
      </c>
      <c r="J21" s="87" t="s">
        <v>1652</v>
      </c>
      <c r="K21" s="87" t="s">
        <v>1653</v>
      </c>
      <c r="L21" s="87" t="s">
        <v>1654</v>
      </c>
      <c r="M21" s="87" t="s">
        <v>1655</v>
      </c>
      <c r="N21" s="87" t="s">
        <v>1656</v>
      </c>
      <c r="O21" s="87" t="s">
        <v>995</v>
      </c>
      <c r="P21" s="87" t="s">
        <v>1134</v>
      </c>
    </row>
    <row r="22" spans="1:16" ht="37.9" customHeight="1">
      <c r="A22" s="77" t="str">
        <f t="shared" si="1"/>
        <v>4. For each metal, select the appropriate response best representing the status of your supplier data collection activities.</v>
      </c>
      <c r="I22" s="87" t="s">
        <v>2605</v>
      </c>
      <c r="J22" s="87" t="s">
        <v>1657</v>
      </c>
      <c r="K22" s="87" t="s">
        <v>1658</v>
      </c>
      <c r="L22" s="87" t="s">
        <v>1659</v>
      </c>
      <c r="M22" s="87" t="s">
        <v>1660</v>
      </c>
      <c r="N22" s="87" t="s">
        <v>1661</v>
      </c>
      <c r="O22" s="87" t="s">
        <v>996</v>
      </c>
      <c r="P22" s="87" t="s">
        <v>1135</v>
      </c>
    </row>
    <row r="23" spans="1:16" ht="38.450000000000003" customHeight="1">
      <c r="A23" s="77" t="str">
        <f t="shared" si="1"/>
        <v>5. For each metal, select the appropriate response best representing the status of your smelter identification efforts.</v>
      </c>
      <c r="I23" s="87" t="s">
        <v>2606</v>
      </c>
      <c r="J23" s="87" t="s">
        <v>1662</v>
      </c>
      <c r="K23" s="87" t="s">
        <v>1663</v>
      </c>
      <c r="L23" s="87" t="s">
        <v>1664</v>
      </c>
      <c r="M23" s="87" t="s">
        <v>1665</v>
      </c>
      <c r="N23" s="87" t="s">
        <v>1666</v>
      </c>
      <c r="O23" s="87" t="s">
        <v>997</v>
      </c>
      <c r="P23" s="87" t="s">
        <v>1136</v>
      </c>
    </row>
    <row r="24" spans="1:16" ht="31.5">
      <c r="A24" s="77" t="str">
        <f t="shared" si="1"/>
        <v>6. For each metal, select the appropriate response based on a comparison of the smelters in your supply chain to the published CFS Compliant Smelter List.</v>
      </c>
      <c r="I24" s="87" t="s">
        <v>2607</v>
      </c>
      <c r="J24" s="87" t="s">
        <v>1667</v>
      </c>
      <c r="K24" s="87" t="s">
        <v>1668</v>
      </c>
      <c r="L24" s="87" t="s">
        <v>4</v>
      </c>
      <c r="M24" s="87" t="s">
        <v>1669</v>
      </c>
      <c r="N24" s="87" t="s">
        <v>1670</v>
      </c>
      <c r="O24" s="87" t="s">
        <v>998</v>
      </c>
      <c r="P24" s="87" t="s">
        <v>1137</v>
      </c>
    </row>
    <row r="25" spans="1:16" ht="28.15" customHeight="1">
      <c r="A25" s="77" t="str">
        <f t="shared" si="1"/>
        <v>Refer to the link above the comment section for verifying smelter status.</v>
      </c>
      <c r="I25" s="87" t="s">
        <v>2608</v>
      </c>
      <c r="J25" s="87" t="s">
        <v>1671</v>
      </c>
      <c r="K25" s="87" t="s">
        <v>1672</v>
      </c>
      <c r="L25" s="87" t="s">
        <v>1673</v>
      </c>
      <c r="M25" s="87" t="s">
        <v>1674</v>
      </c>
      <c r="N25" s="87" t="s">
        <v>1675</v>
      </c>
      <c r="O25" s="87" t="s">
        <v>999</v>
      </c>
      <c r="P25" s="87" t="s">
        <v>1138</v>
      </c>
    </row>
    <row r="26" spans="1:16" ht="45" customHeight="1">
      <c r="A26" s="77" t="str">
        <f t="shared" si="1"/>
        <v>Provide comments in the Comment sections as required to clarify your responses.</v>
      </c>
      <c r="I26" s="89" t="s">
        <v>2628</v>
      </c>
      <c r="J26" s="89" t="s">
        <v>1676</v>
      </c>
      <c r="K26" s="89" t="s">
        <v>1677</v>
      </c>
      <c r="L26" s="89" t="s">
        <v>1678</v>
      </c>
      <c r="M26" s="89" t="s">
        <v>1679</v>
      </c>
      <c r="N26" s="89" t="s">
        <v>1680</v>
      </c>
      <c r="O26" s="89" t="s">
        <v>1681</v>
      </c>
      <c r="P26" s="89" t="s">
        <v>1139</v>
      </c>
    </row>
    <row r="27" spans="1:16" ht="33.6" customHeight="1">
      <c r="A27" s="77" t="str">
        <f t="shared" si="1"/>
        <v>Instructions for completing Questions A. – J. (rows 53 - 73).
Provide answers in ENGLISH only</v>
      </c>
      <c r="I27" s="87" t="s">
        <v>2586</v>
      </c>
      <c r="J27" s="87" t="s">
        <v>1682</v>
      </c>
      <c r="K27" s="87" t="s">
        <v>1683</v>
      </c>
      <c r="L27" s="87" t="s">
        <v>1684</v>
      </c>
      <c r="M27" s="87" t="s">
        <v>1685</v>
      </c>
      <c r="N27" s="87" t="s">
        <v>1686</v>
      </c>
      <c r="O27" s="87" t="s">
        <v>1000</v>
      </c>
      <c r="P27" s="87" t="s">
        <v>1140</v>
      </c>
    </row>
    <row r="28" spans="1:16" ht="19.5">
      <c r="A28" s="78"/>
      <c r="I28" s="91" t="s">
        <v>1835</v>
      </c>
      <c r="J28" s="91" t="s">
        <v>1687</v>
      </c>
      <c r="K28" s="91" t="s">
        <v>1688</v>
      </c>
      <c r="L28" s="91" t="s">
        <v>1689</v>
      </c>
      <c r="M28" s="91" t="s">
        <v>1690</v>
      </c>
      <c r="N28" s="91" t="s">
        <v>1691</v>
      </c>
      <c r="O28" s="91" t="s">
        <v>1001</v>
      </c>
      <c r="P28" s="91" t="s">
        <v>1141</v>
      </c>
    </row>
    <row r="29" spans="1:16" ht="153.6" customHeight="1">
      <c r="A29" s="77" t="str">
        <f>IF($C$4="English",I27,IF($C$4="中文 Chinese",J27,IF($C$4="日本語 Japanese",K27,IF($C$4="한국어 Korean",L27,IF($C$4="Français",M27,IF($C$4="Português",N27,IF($C$4="Deutsch",O27,IF($C$4="Español",P27))))))))</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I29" s="87" t="s">
        <v>2587</v>
      </c>
      <c r="J29" s="87" t="s">
        <v>1692</v>
      </c>
      <c r="K29" s="87" t="s">
        <v>1693</v>
      </c>
      <c r="L29" s="87" t="s">
        <v>1694</v>
      </c>
      <c r="M29" s="87" t="s">
        <v>1695</v>
      </c>
      <c r="N29" s="87" t="s">
        <v>1696</v>
      </c>
      <c r="O29" s="87" t="s">
        <v>1002</v>
      </c>
      <c r="P29" s="87" t="s">
        <v>1142</v>
      </c>
    </row>
    <row r="30" spans="1:16" ht="15.75">
      <c r="A30" s="77" t="str">
        <f t="shared" ref="A30:A40" si="2">IF($C$4="English",I28,IF($C$4="中文 Chinese",J28,IF($C$4="日本語 Japanese",K28,IF($C$4="한국어 Korean",L28,IF($C$4="Français",M28,IF($C$4="Português",N28,IF($C$4="Deutsch",O28,IF($C$4="Español",P28))))))))</f>
        <v xml:space="preserve">A.  Please answer “Yes” or “No”.  Provide any comments, if necessary. </v>
      </c>
      <c r="I30" s="91" t="s">
        <v>2588</v>
      </c>
      <c r="J30" s="91" t="s">
        <v>1697</v>
      </c>
      <c r="K30" s="91" t="s">
        <v>1698</v>
      </c>
      <c r="L30" s="91" t="s">
        <v>1699</v>
      </c>
      <c r="M30" s="91" t="s">
        <v>1700</v>
      </c>
      <c r="N30" s="91" t="s">
        <v>1701</v>
      </c>
      <c r="O30" s="91" t="s">
        <v>1003</v>
      </c>
      <c r="P30" s="91" t="s">
        <v>1143</v>
      </c>
    </row>
    <row r="31" spans="1:16" ht="27" customHeight="1">
      <c r="A31" s="77" t="str">
        <f t="shared" si="2"/>
        <v>B.  Please answer “Yes” or “No” If “Yes”, provide the web link in the comments section.</v>
      </c>
      <c r="I31" s="91" t="s">
        <v>2589</v>
      </c>
      <c r="J31" s="91" t="s">
        <v>1702</v>
      </c>
      <c r="K31" s="91" t="s">
        <v>1703</v>
      </c>
      <c r="L31" s="91" t="s">
        <v>5</v>
      </c>
      <c r="M31" s="91" t="s">
        <v>1704</v>
      </c>
      <c r="N31" s="91" t="s">
        <v>1705</v>
      </c>
      <c r="O31" s="91" t="s">
        <v>1004</v>
      </c>
      <c r="P31" s="91" t="s">
        <v>1144</v>
      </c>
    </row>
    <row r="32" spans="1:16" ht="70.900000000000006" customHeight="1">
      <c r="A32" s="77" t="str">
        <f t="shared" si="2"/>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I32" s="91" t="s">
        <v>2590</v>
      </c>
      <c r="J32" s="91" t="s">
        <v>1706</v>
      </c>
      <c r="K32" s="91" t="s">
        <v>1707</v>
      </c>
      <c r="L32" s="91" t="s">
        <v>1901</v>
      </c>
      <c r="M32" s="91" t="s">
        <v>468</v>
      </c>
      <c r="N32" s="91" t="s">
        <v>1708</v>
      </c>
      <c r="O32" s="91" t="s">
        <v>1005</v>
      </c>
      <c r="P32" s="91" t="s">
        <v>1145</v>
      </c>
    </row>
    <row r="33" spans="1:16" ht="70.150000000000006" customHeight="1">
      <c r="A33" s="77" t="str">
        <f t="shared" si="2"/>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I33" s="92" t="s">
        <v>2591</v>
      </c>
      <c r="J33" s="92" t="s">
        <v>1709</v>
      </c>
      <c r="K33" s="92" t="s">
        <v>1710</v>
      </c>
      <c r="L33" s="92" t="s">
        <v>1902</v>
      </c>
      <c r="M33" s="92" t="s">
        <v>1711</v>
      </c>
      <c r="N33" s="92" t="s">
        <v>1712</v>
      </c>
      <c r="O33" s="92" t="s">
        <v>1006</v>
      </c>
      <c r="P33" s="92" t="s">
        <v>1146</v>
      </c>
    </row>
    <row r="34" spans="1:16" ht="122.45" customHeight="1">
      <c r="A34" s="77" t="str">
        <f t="shared" si="2"/>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I34" s="91" t="s">
        <v>2592</v>
      </c>
      <c r="J34" s="91" t="s">
        <v>1713</v>
      </c>
      <c r="K34" s="91" t="s">
        <v>1714</v>
      </c>
      <c r="L34" s="91" t="s">
        <v>1715</v>
      </c>
      <c r="M34" s="91" t="s">
        <v>1716</v>
      </c>
      <c r="N34" s="91" t="s">
        <v>1717</v>
      </c>
      <c r="O34" s="91" t="s">
        <v>1007</v>
      </c>
      <c r="P34" s="91" t="s">
        <v>1147</v>
      </c>
    </row>
    <row r="35" spans="1:16" ht="45.6" customHeight="1">
      <c r="A35" s="77" t="str">
        <f t="shared" si="2"/>
        <v>F. Please answer “Yes” or “No”.  If “No”, please describe what you request your suppliers to complete (e.g., certificate of compliance, custom form, etc.).</v>
      </c>
      <c r="I35" s="91" t="s">
        <v>2593</v>
      </c>
      <c r="J35" s="91" t="s">
        <v>1718</v>
      </c>
      <c r="K35" s="91" t="s">
        <v>1719</v>
      </c>
      <c r="L35" s="91" t="s">
        <v>1720</v>
      </c>
      <c r="M35" s="91" t="s">
        <v>1721</v>
      </c>
      <c r="N35" s="91" t="s">
        <v>1722</v>
      </c>
      <c r="O35" s="91" t="s">
        <v>1008</v>
      </c>
      <c r="P35" s="91" t="s">
        <v>1148</v>
      </c>
    </row>
    <row r="36" spans="1:16" ht="15.75">
      <c r="A36" s="77" t="str">
        <f t="shared" si="2"/>
        <v>G.  Please answer “Yes” or “No”.  Provide any comments, if necessary.</v>
      </c>
      <c r="I36" s="91" t="s">
        <v>2594</v>
      </c>
      <c r="J36" s="91" t="s">
        <v>1723</v>
      </c>
      <c r="K36" s="91" t="s">
        <v>1724</v>
      </c>
      <c r="L36" s="91" t="s">
        <v>1725</v>
      </c>
      <c r="M36" s="91" t="s">
        <v>1726</v>
      </c>
      <c r="N36" s="91" t="s">
        <v>1727</v>
      </c>
      <c r="O36" s="91" t="s">
        <v>1009</v>
      </c>
      <c r="P36" s="91" t="s">
        <v>1149</v>
      </c>
    </row>
    <row r="37" spans="1:16" ht="139.15" customHeight="1">
      <c r="A37" s="77" t="str">
        <f t="shared" si="2"/>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I37" s="91" t="s">
        <v>2595</v>
      </c>
      <c r="J37" s="91" t="s">
        <v>1728</v>
      </c>
      <c r="K37" s="91" t="s">
        <v>1729</v>
      </c>
      <c r="L37" s="91" t="s">
        <v>6</v>
      </c>
      <c r="M37" s="91" t="s">
        <v>1730</v>
      </c>
      <c r="N37" s="91" t="s">
        <v>1731</v>
      </c>
      <c r="O37" s="91" t="s">
        <v>1010</v>
      </c>
      <c r="P37" s="91" t="s">
        <v>1150</v>
      </c>
    </row>
    <row r="38" spans="1:16" ht="58.15" customHeight="1">
      <c r="A38" s="77" t="str">
        <f t="shared" si="2"/>
        <v>I.  Please answer “Yes” or “No”.  If “Yes”, please describe how you manage your corrective action process.</v>
      </c>
      <c r="I38" s="89" t="s">
        <v>2596</v>
      </c>
      <c r="J38" s="89" t="s">
        <v>1732</v>
      </c>
      <c r="K38" s="89" t="s">
        <v>1733</v>
      </c>
      <c r="L38" s="89" t="s">
        <v>1734</v>
      </c>
      <c r="M38" s="89" t="s">
        <v>1735</v>
      </c>
      <c r="N38" s="89" t="s">
        <v>1736</v>
      </c>
      <c r="O38" s="89" t="s">
        <v>1011</v>
      </c>
      <c r="P38" s="89" t="s">
        <v>1151</v>
      </c>
    </row>
    <row r="39" spans="1:16" ht="58.15" customHeight="1">
      <c r="A39" s="77" t="str">
        <f t="shared" si="2"/>
        <v>J.  Please answer “Yes” or “No”.  The SEC conflict minerals disclosure requirements apply to US exchange-traded companies that are subject to the US Securities Exchange Act. For more information please refer to www.sec.gov.</v>
      </c>
      <c r="I39" s="93" t="s">
        <v>1836</v>
      </c>
      <c r="J39" s="93" t="s">
        <v>1876</v>
      </c>
      <c r="K39" s="93" t="s">
        <v>1737</v>
      </c>
      <c r="L39" s="93" t="s">
        <v>1738</v>
      </c>
      <c r="M39" s="93" t="s">
        <v>1739</v>
      </c>
      <c r="N39" s="93" t="s">
        <v>1740</v>
      </c>
      <c r="O39" s="93" t="s">
        <v>1012</v>
      </c>
      <c r="P39" s="93" t="s">
        <v>1152</v>
      </c>
    </row>
    <row r="40" spans="1:16" ht="39" customHeight="1">
      <c r="A40" s="77" t="str">
        <f t="shared" si="2"/>
        <v>Instructions for completing the Smelter List Tab.
Provide answers in ENGLISH only</v>
      </c>
      <c r="I40" s="205" t="s">
        <v>26</v>
      </c>
      <c r="J40" s="205" t="s">
        <v>27</v>
      </c>
      <c r="K40" s="205" t="s">
        <v>28</v>
      </c>
      <c r="L40" s="205" t="s">
        <v>25</v>
      </c>
      <c r="M40" s="205" t="s">
        <v>29</v>
      </c>
      <c r="N40" s="205" t="s">
        <v>30</v>
      </c>
      <c r="O40" s="205" t="s">
        <v>31</v>
      </c>
      <c r="P40" s="205" t="s">
        <v>32</v>
      </c>
    </row>
    <row r="41" spans="1:16" ht="19.5">
      <c r="A41" s="78"/>
      <c r="I41" s="203" t="s">
        <v>1845</v>
      </c>
      <c r="J41" s="203" t="s">
        <v>1741</v>
      </c>
      <c r="K41" s="203" t="s">
        <v>1742</v>
      </c>
      <c r="L41" s="203" t="s">
        <v>1743</v>
      </c>
      <c r="M41" s="203" t="s">
        <v>1744</v>
      </c>
      <c r="N41" s="203" t="s">
        <v>1745</v>
      </c>
      <c r="O41" s="203" t="s">
        <v>1013</v>
      </c>
      <c r="P41" s="203" t="s">
        <v>1153</v>
      </c>
    </row>
    <row r="42" spans="1:16" ht="15.75">
      <c r="A42" s="77" t="str">
        <f t="shared" ref="A42:A56" si="3">IF($C$4="English",I39,IF($C$4="中文 Chinese",J39,IF($C$4="日本語 Japanese",K39,IF($C$4="한국어 Korean",L39,IF($C$4="Français",M39,IF($C$4="Português",N39,IF($C$4="Deutsch",O39,IF($C$4="Español",P39))))))))</f>
        <v>Note:  Columns with (*) are mandatory fields</v>
      </c>
      <c r="I42" s="203" t="s">
        <v>406</v>
      </c>
      <c r="J42" s="206" t="s">
        <v>423</v>
      </c>
      <c r="K42" s="206" t="s">
        <v>446</v>
      </c>
      <c r="L42" s="206" t="s">
        <v>424</v>
      </c>
      <c r="M42" s="206" t="s">
        <v>425</v>
      </c>
      <c r="N42" s="206" t="s">
        <v>426</v>
      </c>
      <c r="O42" s="206" t="s">
        <v>427</v>
      </c>
      <c r="P42" s="206" t="s">
        <v>428</v>
      </c>
    </row>
    <row r="43" spans="1:16" ht="73.900000000000006" customHeight="1">
      <c r="A43" s="77" t="str">
        <f t="shared" si="3"/>
        <v>This template allows for smelter identification using the Smelter Reference List. Columns B,C,D and E must be completed in order from left to right to utilize the Smelter Reference List feature.
Use a separate line for each metal/smelter/country combination</v>
      </c>
      <c r="I43" s="203" t="s">
        <v>407</v>
      </c>
      <c r="J43" s="203" t="s">
        <v>433</v>
      </c>
      <c r="K43" s="203" t="s">
        <v>448</v>
      </c>
      <c r="L43" s="203" t="s">
        <v>432</v>
      </c>
      <c r="M43" s="203" t="s">
        <v>431</v>
      </c>
      <c r="N43" s="203" t="s">
        <v>378</v>
      </c>
      <c r="O43" s="203" t="s">
        <v>430</v>
      </c>
      <c r="P43" s="203" t="s">
        <v>429</v>
      </c>
    </row>
    <row r="44" spans="1:16" ht="55.15" customHeight="1">
      <c r="A44" s="77" t="str">
        <f t="shared" si="3"/>
        <v>1.  Metal (*)   -   Use the pull down menu to select the metal for which you are entering smelter information.</v>
      </c>
      <c r="I44" s="203" t="s">
        <v>408</v>
      </c>
      <c r="J44" s="203" t="s">
        <v>434</v>
      </c>
      <c r="K44" s="203" t="s">
        <v>447</v>
      </c>
      <c r="L44" s="203" t="s">
        <v>435</v>
      </c>
      <c r="M44" s="203" t="s">
        <v>436</v>
      </c>
      <c r="N44" s="203" t="s">
        <v>437</v>
      </c>
      <c r="O44" s="203" t="s">
        <v>438</v>
      </c>
      <c r="P44" s="203" t="s">
        <v>439</v>
      </c>
    </row>
    <row r="45" spans="1:16" ht="78" customHeight="1">
      <c r="A45" s="77" t="str">
        <f t="shared" si="3"/>
        <v>2. Smelter Reference List(*) - Select from dropdown.  This is the list of known smelters as of template release date.  If smelter is not listed select 'Smelter Not Listed'</v>
      </c>
      <c r="I45" s="91" t="s">
        <v>1020</v>
      </c>
      <c r="J45" s="91" t="s">
        <v>342</v>
      </c>
      <c r="K45" s="91" t="s">
        <v>351</v>
      </c>
      <c r="L45" s="91" t="s">
        <v>360</v>
      </c>
      <c r="M45" s="91" t="s">
        <v>369</v>
      </c>
      <c r="N45" s="91" t="s">
        <v>379</v>
      </c>
      <c r="O45" s="91" t="s">
        <v>388</v>
      </c>
      <c r="P45" s="91" t="s">
        <v>397</v>
      </c>
    </row>
    <row r="46" spans="1:16" ht="84.6" customHeight="1">
      <c r="A46" s="77" t="str">
        <f t="shared" si="3"/>
        <v>3. Standard Smelter Names (*)- Fill in smelter name if you selected 'Smelter Not Listed' in column 'c'.  This field will auto-populate when a smelter name in selected in column 'c'.</v>
      </c>
      <c r="I46" s="91" t="s">
        <v>1021</v>
      </c>
      <c r="J46" s="91" t="s">
        <v>343</v>
      </c>
      <c r="K46" s="91" t="s">
        <v>352</v>
      </c>
      <c r="L46" s="91" t="s">
        <v>361</v>
      </c>
      <c r="M46" s="91" t="s">
        <v>370</v>
      </c>
      <c r="N46" s="91" t="s">
        <v>380</v>
      </c>
      <c r="O46" s="91" t="s">
        <v>389</v>
      </c>
      <c r="P46" s="91" t="s">
        <v>398</v>
      </c>
    </row>
    <row r="47" spans="1:16" ht="120.6" customHeight="1">
      <c r="A47" s="77" t="str">
        <f t="shared" si="3"/>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I47" s="91" t="s">
        <v>1022</v>
      </c>
      <c r="J47" s="91" t="s">
        <v>344</v>
      </c>
      <c r="K47" s="91" t="s">
        <v>353</v>
      </c>
      <c r="L47" s="91" t="s">
        <v>362</v>
      </c>
      <c r="M47" s="91" t="s">
        <v>371</v>
      </c>
      <c r="N47" s="91" t="s">
        <v>381</v>
      </c>
      <c r="O47" s="91" t="s">
        <v>390</v>
      </c>
      <c r="P47" s="91" t="s">
        <v>399</v>
      </c>
    </row>
    <row r="48" spans="1:16" ht="68.45" customHeight="1">
      <c r="A48" s="77" t="str">
        <f t="shared" si="3"/>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I48" s="91" t="s">
        <v>1023</v>
      </c>
      <c r="J48" s="91" t="s">
        <v>345</v>
      </c>
      <c r="K48" s="91" t="s">
        <v>354</v>
      </c>
      <c r="L48" s="91" t="s">
        <v>363</v>
      </c>
      <c r="M48" s="91" t="s">
        <v>372</v>
      </c>
      <c r="N48" s="91" t="s">
        <v>382</v>
      </c>
      <c r="O48" s="91" t="s">
        <v>391</v>
      </c>
      <c r="P48" s="91" t="s">
        <v>400</v>
      </c>
    </row>
    <row r="49" spans="1:16" ht="61.15" customHeight="1">
      <c r="A49" s="77" t="str">
        <f t="shared" si="3"/>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I49" s="91" t="s">
        <v>1024</v>
      </c>
      <c r="J49" s="91" t="s">
        <v>346</v>
      </c>
      <c r="K49" s="91" t="s">
        <v>355</v>
      </c>
      <c r="L49" s="91" t="s">
        <v>364</v>
      </c>
      <c r="M49" s="91" t="s">
        <v>373</v>
      </c>
      <c r="N49" s="91" t="s">
        <v>383</v>
      </c>
      <c r="O49" s="91" t="s">
        <v>392</v>
      </c>
      <c r="P49" s="91" t="s">
        <v>401</v>
      </c>
    </row>
    <row r="50" spans="1:16" ht="75" customHeight="1">
      <c r="A50" s="77" t="str">
        <f t="shared" si="3"/>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I50" s="91" t="s">
        <v>1025</v>
      </c>
      <c r="J50" s="91" t="s">
        <v>347</v>
      </c>
      <c r="K50" s="91" t="s">
        <v>356</v>
      </c>
      <c r="L50" s="91" t="s">
        <v>365</v>
      </c>
      <c r="M50" s="91" t="s">
        <v>374</v>
      </c>
      <c r="N50" s="91" t="s">
        <v>384</v>
      </c>
      <c r="O50" s="91" t="s">
        <v>393</v>
      </c>
      <c r="P50" s="91" t="s">
        <v>402</v>
      </c>
    </row>
    <row r="51" spans="1:16" ht="53.45" customHeight="1">
      <c r="A51" s="77" t="str">
        <f t="shared" si="3"/>
        <v>8. Smelter Facility Contact Name – Fill in the name of the Smelter Facility Contact person who you worked with.</v>
      </c>
      <c r="I51" s="91" t="s">
        <v>1026</v>
      </c>
      <c r="J51" s="91" t="s">
        <v>348</v>
      </c>
      <c r="K51" s="91" t="s">
        <v>357</v>
      </c>
      <c r="L51" s="91" t="s">
        <v>366</v>
      </c>
      <c r="M51" s="91" t="s">
        <v>375</v>
      </c>
      <c r="N51" s="91" t="s">
        <v>385</v>
      </c>
      <c r="O51" s="91" t="s">
        <v>394</v>
      </c>
      <c r="P51" s="91" t="s">
        <v>403</v>
      </c>
    </row>
    <row r="52" spans="1:16" ht="83.45" customHeight="1">
      <c r="A52" s="77" t="str">
        <f t="shared" si="3"/>
        <v>9. Smelter Facility Contact Email – Fill in the email address of the Smelter Facility contact person who was identified in step#7.  Example: John.Smith@SmelterXXX.com</v>
      </c>
      <c r="I52" s="91" t="s">
        <v>1027</v>
      </c>
      <c r="J52" s="91" t="s">
        <v>349</v>
      </c>
      <c r="K52" s="91" t="s">
        <v>358</v>
      </c>
      <c r="L52" s="91" t="s">
        <v>367</v>
      </c>
      <c r="M52" s="91" t="s">
        <v>376</v>
      </c>
      <c r="N52" s="91" t="s">
        <v>386</v>
      </c>
      <c r="O52" s="91" t="s">
        <v>395</v>
      </c>
      <c r="P52" s="91" t="s">
        <v>404</v>
      </c>
    </row>
    <row r="53" spans="1:16" ht="78" customHeight="1">
      <c r="A53" s="77" t="str">
        <f t="shared" si="3"/>
        <v>10. Proposed next steps, if applicable – Provide the actions you will take with the smelter if the facility is not listed on the EICC-GeSI CFS list. Example: request smelter facility to be assessed through the CFS program, remove from preferred supplier list, etc.</v>
      </c>
      <c r="I53" s="91" t="s">
        <v>1028</v>
      </c>
      <c r="J53" s="91" t="s">
        <v>350</v>
      </c>
      <c r="K53" s="91" t="s">
        <v>359</v>
      </c>
      <c r="L53" s="91" t="s">
        <v>368</v>
      </c>
      <c r="M53" s="91" t="s">
        <v>377</v>
      </c>
      <c r="N53" s="91" t="s">
        <v>387</v>
      </c>
      <c r="O53" s="91" t="s">
        <v>396</v>
      </c>
      <c r="P53" s="91" t="s">
        <v>405</v>
      </c>
    </row>
    <row r="54" spans="1:16" ht="83.45" customHeight="1">
      <c r="A54" s="77" t="str">
        <f t="shared" si="3"/>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I54" s="164" t="s">
        <v>2551</v>
      </c>
      <c r="J54" s="164" t="s">
        <v>1746</v>
      </c>
      <c r="K54" s="164" t="s">
        <v>1747</v>
      </c>
      <c r="L54" s="164" t="s">
        <v>929</v>
      </c>
      <c r="M54" s="164" t="s">
        <v>1748</v>
      </c>
      <c r="N54" s="164" t="s">
        <v>1749</v>
      </c>
      <c r="O54" s="164" t="s">
        <v>1750</v>
      </c>
      <c r="P54" s="164" t="s">
        <v>1154</v>
      </c>
    </row>
    <row r="55" spans="1:16" ht="69" customHeight="1">
      <c r="A55" s="77" t="str">
        <f t="shared" si="3"/>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I55" s="94" t="s">
        <v>2552</v>
      </c>
      <c r="J55" s="94" t="s">
        <v>1751</v>
      </c>
      <c r="K55" s="94" t="s">
        <v>1752</v>
      </c>
      <c r="L55" s="94" t="s">
        <v>7</v>
      </c>
      <c r="M55" s="94" t="s">
        <v>1753</v>
      </c>
      <c r="N55" s="94" t="s">
        <v>1754</v>
      </c>
      <c r="O55" s="94" t="s">
        <v>1014</v>
      </c>
      <c r="P55" s="94" t="s">
        <v>1155</v>
      </c>
    </row>
    <row r="56" spans="1:16" ht="60.6" customHeight="1">
      <c r="A56" s="77" t="str">
        <f t="shared" si="3"/>
        <v>13. Comments – free form text field to enter any comments concerning the smelter.  Example: smelter is being acquired by Company YYY</v>
      </c>
      <c r="I56" s="94" t="s">
        <v>2553</v>
      </c>
      <c r="J56" s="94" t="s">
        <v>1755</v>
      </c>
      <c r="K56" s="94" t="s">
        <v>1756</v>
      </c>
      <c r="L56" s="94" t="s">
        <v>1757</v>
      </c>
      <c r="M56" s="94" t="s">
        <v>1758</v>
      </c>
      <c r="N56" s="94" t="s">
        <v>1759</v>
      </c>
      <c r="O56" s="94" t="s">
        <v>1760</v>
      </c>
      <c r="P56" s="94" t="s">
        <v>1156</v>
      </c>
    </row>
    <row r="57" spans="1:16" s="163" customFormat="1" ht="19.5">
      <c r="A57" s="204"/>
      <c r="I57" s="94" t="s">
        <v>2554</v>
      </c>
      <c r="J57" s="94" t="s">
        <v>1761</v>
      </c>
      <c r="K57" s="94" t="s">
        <v>1762</v>
      </c>
      <c r="L57" s="94" t="s">
        <v>1334</v>
      </c>
      <c r="M57" s="94" t="s">
        <v>1335</v>
      </c>
      <c r="N57" s="94" t="s">
        <v>1336</v>
      </c>
      <c r="O57" s="94" t="s">
        <v>1337</v>
      </c>
      <c r="P57" s="94" t="s">
        <v>1157</v>
      </c>
    </row>
    <row r="58" spans="1:16" ht="109.9" customHeight="1">
      <c r="A58" s="77" t="str">
        <f>IF($C$4="English",I54,IF($C$4="中文 Chinese",J54,IF($C$4="日本語 Japanese",K54,IF($C$4="한국어 Korean",L54,IF($C$4="Français",M54,IF($C$4="Português",N54,IF($C$4="Deutsch",O54,IF($C$4="Español",P54))))))))</f>
        <v>TERMS AND CONDITIONS</v>
      </c>
      <c r="I58" s="94" t="s">
        <v>2555</v>
      </c>
      <c r="J58" s="94" t="s">
        <v>1338</v>
      </c>
      <c r="K58" s="94" t="s">
        <v>1339</v>
      </c>
      <c r="L58" s="94" t="s">
        <v>1340</v>
      </c>
      <c r="M58" s="94" t="s">
        <v>1341</v>
      </c>
      <c r="N58" s="94" t="s">
        <v>1342</v>
      </c>
      <c r="O58" s="94" t="s">
        <v>1343</v>
      </c>
      <c r="P58" s="94" t="s">
        <v>1158</v>
      </c>
    </row>
    <row r="59" spans="1:16" ht="189.6" customHeight="1">
      <c r="A59" s="77" t="str">
        <f t="shared" ref="A59:A65" si="4">IF($C$4="English",I55,IF($C$4="中文 Chinese",J55,IF($C$4="日本語 Japanese",K55,IF($C$4="한국어 Korean",L55,IF($C$4="Français",M55,IF($C$4="Português",N55,IF($C$4="Deutsch",O55,IF($C$4="Español",P55))))))))</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I59" s="94" t="s">
        <v>2556</v>
      </c>
      <c r="J59" s="94" t="s">
        <v>1344</v>
      </c>
      <c r="K59" s="94" t="s">
        <v>1345</v>
      </c>
      <c r="L59" s="94" t="s">
        <v>1346</v>
      </c>
      <c r="M59" s="94" t="s">
        <v>1347</v>
      </c>
      <c r="N59" s="94" t="s">
        <v>930</v>
      </c>
      <c r="O59" s="94" t="s">
        <v>1348</v>
      </c>
      <c r="P59" s="94" t="s">
        <v>1159</v>
      </c>
    </row>
    <row r="60" spans="1:16" ht="192" customHeight="1">
      <c r="A60" s="77" t="str">
        <f t="shared" si="4"/>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I60" s="94" t="s">
        <v>2557</v>
      </c>
      <c r="J60" s="94" t="s">
        <v>1349</v>
      </c>
      <c r="K60" s="94" t="s">
        <v>1350</v>
      </c>
      <c r="L60" s="94" t="s">
        <v>1351</v>
      </c>
      <c r="M60" s="94" t="s">
        <v>1352</v>
      </c>
      <c r="N60" s="94" t="s">
        <v>1353</v>
      </c>
      <c r="O60" s="94" t="s">
        <v>1354</v>
      </c>
      <c r="P60" s="94" t="s">
        <v>1160</v>
      </c>
    </row>
    <row r="61" spans="1:16" ht="118.15" customHeight="1">
      <c r="A61" s="77" t="str">
        <f t="shared" si="4"/>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I61" s="165" t="s">
        <v>2584</v>
      </c>
      <c r="J61" s="165" t="s">
        <v>1358</v>
      </c>
      <c r="K61" s="165" t="s">
        <v>2584</v>
      </c>
      <c r="L61" s="165" t="s">
        <v>2584</v>
      </c>
      <c r="M61" s="165" t="s">
        <v>1359</v>
      </c>
      <c r="N61" s="165" t="s">
        <v>1360</v>
      </c>
      <c r="O61" s="165" t="s">
        <v>2584</v>
      </c>
      <c r="P61" s="165" t="s">
        <v>1161</v>
      </c>
    </row>
    <row r="62" spans="1:16" ht="222.6" customHeight="1">
      <c r="A62" s="77" t="str">
        <f t="shared" si="4"/>
        <v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v>
      </c>
    </row>
    <row r="63" spans="1:16" ht="77.45" customHeight="1">
      <c r="A63" s="77" t="str">
        <f t="shared" si="4"/>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64" spans="1:16" ht="55.15" customHeight="1">
      <c r="A64" s="77" t="str">
        <f t="shared" si="4"/>
        <v xml:space="preserve">By accessing and using the List or any Tool, and in consideration thereof, the User agrees to the foregoing. </v>
      </c>
    </row>
    <row r="65" spans="1:1" ht="37.15" customHeight="1">
      <c r="A65" s="77" t="str">
        <f t="shared" si="4"/>
        <v>© 2011 Electronic Industry Citizenship Coalition, Incorporated and Global e-Sustainability Initiative. All rights reserved.</v>
      </c>
    </row>
    <row r="66" spans="1:1" ht="15">
      <c r="A66" s="146" t="s">
        <v>2622</v>
      </c>
    </row>
    <row r="67" spans="1:1">
      <c r="A67" s="139"/>
    </row>
  </sheetData>
  <sheetProtection password="C453" sheet="1" objects="1" scenarios="1"/>
  <customSheetViews>
    <customSheetView guid="{81CF54B1-70AB-4A68-BB72-21925B5D4874}" hiddenColumns="1">
      <selection activeCell="C3" sqref="C3:G3"/>
      <pageMargins left="0.7" right="0.7" top="0.75" bottom="0.75" header="0.3" footer="0.3"/>
    </customSheetView>
  </customSheetViews>
  <mergeCells count="3">
    <mergeCell ref="C4:G4"/>
    <mergeCell ref="C7:G7"/>
    <mergeCell ref="C1:G3"/>
  </mergeCells>
  <phoneticPr fontId="0" type="noConversion"/>
  <dataValidations count="1">
    <dataValidation type="list" allowBlank="1" showInputMessage="1" showErrorMessage="1" sqref="C4:G4">
      <formula1>"English, 中文 Chinese,日本語 Japanese,한국어 Korean, Français,Português,Deutsch,Español"</formula1>
    </dataValidation>
  </dataValidations>
  <hyperlinks>
    <hyperlink ref="A66" location="Declaration!D7" display="Return to declaration tab"/>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3"/>
  <dimension ref="A1:AA25"/>
  <sheetViews>
    <sheetView zoomScale="70" zoomScaleNormal="70" workbookViewId="0">
      <selection activeCell="F5" sqref="F5:J5"/>
    </sheetView>
  </sheetViews>
  <sheetFormatPr baseColWidth="10" defaultColWidth="8.75" defaultRowHeight="12.75"/>
  <cols>
    <col min="1" max="1" width="1.625" style="1" customWidth="1"/>
    <col min="2" max="2" width="29.375" style="1" bestFit="1" customWidth="1"/>
    <col min="3" max="3" width="69" style="1" customWidth="1"/>
    <col min="4" max="5" width="1.625" style="1" customWidth="1"/>
    <col min="6" max="9" width="8.75" style="1"/>
    <col min="10" max="10" width="9" style="1" customWidth="1"/>
    <col min="11" max="11" width="1.625" style="1" customWidth="1"/>
    <col min="12" max="12" width="33.875" style="1" hidden="1" customWidth="1"/>
    <col min="13" max="13" width="9" style="1" hidden="1" customWidth="1"/>
    <col min="14" max="14" width="27.5" style="1" hidden="1" customWidth="1"/>
    <col min="15" max="27" width="9" style="1" hidden="1" customWidth="1"/>
    <col min="28" max="16384" width="8.75" style="1"/>
  </cols>
  <sheetData>
    <row r="1" spans="1:27" ht="13.5" thickTop="1">
      <c r="A1" s="248"/>
      <c r="B1" s="249"/>
      <c r="C1" s="249"/>
      <c r="D1" s="250"/>
      <c r="F1" s="245" t="s">
        <v>1162</v>
      </c>
      <c r="G1" s="245"/>
      <c r="H1" s="245"/>
      <c r="I1" s="245"/>
      <c r="J1" s="245"/>
      <c r="L1" s="31" t="s">
        <v>1853</v>
      </c>
      <c r="M1" s="31" t="s">
        <v>1854</v>
      </c>
      <c r="N1" s="31" t="s">
        <v>1855</v>
      </c>
      <c r="O1" s="31" t="s">
        <v>1856</v>
      </c>
      <c r="P1" s="31" t="s">
        <v>1355</v>
      </c>
      <c r="Q1" s="31" t="s">
        <v>1356</v>
      </c>
      <c r="R1" s="31" t="s">
        <v>1357</v>
      </c>
      <c r="S1" s="31" t="s">
        <v>1116</v>
      </c>
      <c r="T1" s="31" t="s">
        <v>1853</v>
      </c>
      <c r="U1" s="31" t="s">
        <v>1854</v>
      </c>
      <c r="V1" s="31" t="s">
        <v>1855</v>
      </c>
      <c r="W1" s="31" t="s">
        <v>1856</v>
      </c>
      <c r="X1" s="31" t="s">
        <v>1355</v>
      </c>
      <c r="Y1" s="31" t="s">
        <v>1356</v>
      </c>
      <c r="Z1" s="31" t="s">
        <v>1357</v>
      </c>
      <c r="AA1" s="31" t="s">
        <v>1116</v>
      </c>
    </row>
    <row r="2" spans="1:27" ht="15">
      <c r="A2" s="253"/>
      <c r="B2" s="99" t="str">
        <f>IF($F$5="English",L2,IF($F$5="中文 Chinese",M2,IF($F$5="日本語 Japanese",N2,IF($F$5="한국어 Korean",O2,IF($F$5="Français",P2,IF($F$5="Português",Q2,IF($F$5="Deutsch",R2,IF($F$5="Español",S2))))))))</f>
        <v>ITEM</v>
      </c>
      <c r="C2" s="99" t="str">
        <f>IF($F$5="English",T2,IF($F$5="中文 Chinese",U2,IF($F$5="日本語 Japanese",V2,IF($F$5="한국어 Korean",W2,IF($F$5="Français",X2,IF($F$5="Português",Y2,IF($F$5="Deutsch",Z2,IF($F$5="Español",AA2))))))))</f>
        <v>DEFINITION</v>
      </c>
      <c r="D2" s="251"/>
      <c r="F2" s="246"/>
      <c r="G2" s="246"/>
      <c r="H2" s="246"/>
      <c r="I2" s="246"/>
      <c r="J2" s="246"/>
      <c r="L2" s="100" t="s">
        <v>1361</v>
      </c>
      <c r="M2" s="100" t="s">
        <v>1877</v>
      </c>
      <c r="N2" s="100" t="s">
        <v>1906</v>
      </c>
      <c r="O2" s="100" t="s">
        <v>1883</v>
      </c>
      <c r="P2" s="100" t="s">
        <v>1362</v>
      </c>
      <c r="Q2" s="100" t="s">
        <v>1363</v>
      </c>
      <c r="R2" s="100" t="s">
        <v>1364</v>
      </c>
      <c r="S2" s="100" t="s">
        <v>1163</v>
      </c>
      <c r="T2" s="101" t="s">
        <v>1453</v>
      </c>
      <c r="U2" s="101" t="s">
        <v>1879</v>
      </c>
      <c r="V2" s="101" t="s">
        <v>1907</v>
      </c>
      <c r="W2" s="101" t="s">
        <v>1884</v>
      </c>
      <c r="X2" s="101" t="s">
        <v>1454</v>
      </c>
      <c r="Y2" s="101" t="s">
        <v>1455</v>
      </c>
      <c r="Z2" s="101" t="s">
        <v>1456</v>
      </c>
      <c r="AA2" s="101" t="s">
        <v>1178</v>
      </c>
    </row>
    <row r="3" spans="1:27" ht="58.15" customHeight="1">
      <c r="A3" s="253"/>
      <c r="B3" s="99" t="str">
        <f t="shared" ref="B3:B23" si="0">IF($F$5="English",L3,IF($F$5="中文 Chinese",M3,IF($F$5="日本語 Japanese",N3,IF($F$5="한국어 Korean",O3,IF($F$5="Français",P3,IF($F$5="Português",Q3,IF($F$5="Deutsch",R3,IF($F$5="Español",S3))))))))</f>
        <v>Adjoining Country</v>
      </c>
      <c r="C3" s="99" t="str">
        <f t="shared" ref="C3:C23" si="1">IF($F$5="English",T3,IF($F$5="中文 Chinese",U3,IF($F$5="日本語 Japanese",V3,IF($F$5="한국어 Korean",W3,IF($F$5="Français",X3,IF($F$5="Português",Y3,IF($F$5="Deutsch",Z3,IF($F$5="Español",AA3))))))))</f>
        <v>A country that shares an internationally recognized border with the Democratic Republic of Congo is considered an “adjoining country”.</v>
      </c>
      <c r="D3" s="251"/>
      <c r="F3" s="246"/>
      <c r="G3" s="246"/>
      <c r="H3" s="246"/>
      <c r="I3" s="246"/>
      <c r="J3" s="246"/>
      <c r="L3" s="102" t="s">
        <v>1843</v>
      </c>
      <c r="M3" s="102" t="s">
        <v>1365</v>
      </c>
      <c r="N3" s="102" t="s">
        <v>1940</v>
      </c>
      <c r="O3" s="102" t="s">
        <v>1366</v>
      </c>
      <c r="P3" s="102" t="s">
        <v>1367</v>
      </c>
      <c r="Q3" s="102" t="s">
        <v>1368</v>
      </c>
      <c r="R3" s="102" t="s">
        <v>1369</v>
      </c>
      <c r="S3" s="102" t="s">
        <v>1164</v>
      </c>
      <c r="T3" s="103" t="s">
        <v>469</v>
      </c>
      <c r="U3" s="103" t="s">
        <v>1457</v>
      </c>
      <c r="V3" s="103" t="s">
        <v>1458</v>
      </c>
      <c r="W3" s="103" t="s">
        <v>1459</v>
      </c>
      <c r="X3" s="103" t="s">
        <v>1460</v>
      </c>
      <c r="Y3" s="103" t="s">
        <v>1461</v>
      </c>
      <c r="Z3" s="103" t="s">
        <v>1462</v>
      </c>
      <c r="AA3" s="103" t="s">
        <v>1179</v>
      </c>
    </row>
    <row r="4" spans="1:27" ht="88.9" customHeight="1">
      <c r="A4" s="253"/>
      <c r="B4" s="99" t="str">
        <f t="shared" si="0"/>
        <v>CFS Compliant Smelter List</v>
      </c>
      <c r="C4" s="99" t="str">
        <f t="shared" si="1"/>
        <v>Conflict-Free Smelter Program Compliant Smelter List is a list of smelters which have been independently audited and determined to be compliant to a CFS protocol. The list and protocols can be found here: (http://www.conflictfreesmelter.org/)</v>
      </c>
      <c r="D4" s="251"/>
      <c r="F4" s="247"/>
      <c r="G4" s="247"/>
      <c r="H4" s="247"/>
      <c r="I4" s="247"/>
      <c r="J4" s="247"/>
      <c r="L4" s="102" t="s">
        <v>2566</v>
      </c>
      <c r="M4" s="102" t="s">
        <v>1370</v>
      </c>
      <c r="N4" s="102" t="s">
        <v>1371</v>
      </c>
      <c r="O4" s="102" t="s">
        <v>18</v>
      </c>
      <c r="P4" s="102" t="s">
        <v>1372</v>
      </c>
      <c r="Q4" s="102" t="s">
        <v>1373</v>
      </c>
      <c r="R4" s="102" t="s">
        <v>1374</v>
      </c>
      <c r="S4" s="102" t="s">
        <v>1165</v>
      </c>
      <c r="T4" s="103" t="s">
        <v>2567</v>
      </c>
      <c r="U4" s="103" t="s">
        <v>1463</v>
      </c>
      <c r="V4" s="103" t="s">
        <v>1464</v>
      </c>
      <c r="W4" s="103" t="s">
        <v>21</v>
      </c>
      <c r="X4" s="103" t="s">
        <v>1465</v>
      </c>
      <c r="Y4" s="103" t="s">
        <v>1466</v>
      </c>
      <c r="Z4" s="103" t="s">
        <v>1467</v>
      </c>
      <c r="AA4" s="103" t="s">
        <v>1180</v>
      </c>
    </row>
    <row r="5" spans="1:27" ht="87.6" customHeight="1">
      <c r="A5" s="253"/>
      <c r="B5" s="99" t="str">
        <f t="shared" si="0"/>
        <v>CFS Program</v>
      </c>
      <c r="C5" s="99" t="str">
        <f t="shared" si="1"/>
        <v>The Conflict-Free Smelter (CFS) Program is a program developed by EICC and GeSI to enhance company capability to verify the responsible sourcing of metals. Further details of the CFS Program can be found here: (http://www.conflictfreesmelter.org/)</v>
      </c>
      <c r="D5" s="251"/>
      <c r="F5" s="237" t="s">
        <v>1853</v>
      </c>
      <c r="G5" s="238"/>
      <c r="H5" s="238"/>
      <c r="I5" s="238"/>
      <c r="J5" s="239"/>
      <c r="L5" s="102" t="s">
        <v>1941</v>
      </c>
      <c r="M5" s="102" t="s">
        <v>1375</v>
      </c>
      <c r="N5" s="102" t="s">
        <v>1942</v>
      </c>
      <c r="O5" s="102" t="s">
        <v>19</v>
      </c>
      <c r="P5" s="102" t="s">
        <v>1376</v>
      </c>
      <c r="Q5" s="102" t="s">
        <v>1377</v>
      </c>
      <c r="R5" s="102" t="s">
        <v>1378</v>
      </c>
      <c r="S5" s="102" t="s">
        <v>1166</v>
      </c>
      <c r="T5" s="103" t="s">
        <v>2568</v>
      </c>
      <c r="U5" s="103" t="s">
        <v>1468</v>
      </c>
      <c r="V5" s="103" t="s">
        <v>1469</v>
      </c>
      <c r="W5" s="103" t="s">
        <v>22</v>
      </c>
      <c r="X5" s="103" t="s">
        <v>1470</v>
      </c>
      <c r="Y5" s="103" t="s">
        <v>1471</v>
      </c>
      <c r="Z5" s="103" t="s">
        <v>471</v>
      </c>
      <c r="AA5" s="103" t="s">
        <v>1181</v>
      </c>
    </row>
    <row r="6" spans="1:27" ht="206.45" customHeight="1">
      <c r="A6" s="253"/>
      <c r="B6" s="99" t="str">
        <f t="shared" si="0"/>
        <v>Conflict Mineral</v>
      </c>
      <c r="C6" s="99" t="str">
        <f t="shared" si="1"/>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51"/>
      <c r="L6" s="102" t="s">
        <v>1841</v>
      </c>
      <c r="M6" s="102" t="s">
        <v>1379</v>
      </c>
      <c r="N6" s="102" t="s">
        <v>1943</v>
      </c>
      <c r="O6" s="102" t="s">
        <v>20</v>
      </c>
      <c r="P6" s="102" t="s">
        <v>1380</v>
      </c>
      <c r="Q6" s="102" t="s">
        <v>1381</v>
      </c>
      <c r="R6" s="102" t="s">
        <v>980</v>
      </c>
      <c r="S6" s="102" t="s">
        <v>1167</v>
      </c>
      <c r="T6" s="103" t="s">
        <v>464</v>
      </c>
      <c r="U6" s="103" t="s">
        <v>1472</v>
      </c>
      <c r="V6" s="103" t="s">
        <v>1473</v>
      </c>
      <c r="W6" s="103" t="s">
        <v>23</v>
      </c>
      <c r="X6" s="103" t="s">
        <v>1474</v>
      </c>
      <c r="Y6" s="103" t="s">
        <v>1475</v>
      </c>
      <c r="Z6" s="103" t="s">
        <v>1476</v>
      </c>
      <c r="AA6" s="103" t="s">
        <v>1182</v>
      </c>
    </row>
    <row r="7" spans="1:27" ht="122.45" customHeight="1">
      <c r="A7" s="253"/>
      <c r="B7" s="99" t="str">
        <f t="shared" si="0"/>
        <v>Declaration Scope</v>
      </c>
      <c r="C7" s="99" t="str">
        <f t="shared" si="1"/>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51"/>
      <c r="F7" s="240" t="s">
        <v>153</v>
      </c>
      <c r="G7" s="241"/>
      <c r="H7" s="241"/>
      <c r="I7" s="241"/>
      <c r="J7" s="242"/>
      <c r="L7" s="102" t="s">
        <v>2569</v>
      </c>
      <c r="M7" s="102" t="s">
        <v>1382</v>
      </c>
      <c r="N7" s="102" t="s">
        <v>1383</v>
      </c>
      <c r="O7" s="102" t="s">
        <v>1384</v>
      </c>
      <c r="P7" s="102" t="s">
        <v>1385</v>
      </c>
      <c r="Q7" s="102" t="s">
        <v>1386</v>
      </c>
      <c r="R7" s="102" t="s">
        <v>1387</v>
      </c>
      <c r="S7" s="102" t="s">
        <v>1168</v>
      </c>
      <c r="T7" s="103" t="s">
        <v>2570</v>
      </c>
      <c r="U7" s="103" t="s">
        <v>1477</v>
      </c>
      <c r="V7" s="103" t="s">
        <v>1478</v>
      </c>
      <c r="W7" s="103" t="s">
        <v>1479</v>
      </c>
      <c r="X7" s="103" t="s">
        <v>808</v>
      </c>
      <c r="Y7" s="103" t="s">
        <v>1480</v>
      </c>
      <c r="Z7" s="103" t="s">
        <v>1481</v>
      </c>
      <c r="AA7" s="103" t="s">
        <v>1183</v>
      </c>
    </row>
    <row r="8" spans="1:27" ht="54.6" customHeight="1">
      <c r="A8" s="253"/>
      <c r="B8" s="99" t="str">
        <f t="shared" si="0"/>
        <v>Division</v>
      </c>
      <c r="C8" s="99" t="str">
        <f t="shared" si="1"/>
        <v>A division is a defined unit of a business which performs a specific service or produces a specific category of products.</v>
      </c>
      <c r="D8" s="251"/>
      <c r="L8" s="102" t="s">
        <v>2571</v>
      </c>
      <c r="M8" s="102" t="s">
        <v>1388</v>
      </c>
      <c r="N8" s="102" t="s">
        <v>1389</v>
      </c>
      <c r="O8" s="102" t="s">
        <v>1390</v>
      </c>
      <c r="P8" s="102" t="s">
        <v>2571</v>
      </c>
      <c r="Q8" s="102" t="s">
        <v>1391</v>
      </c>
      <c r="R8" s="102" t="s">
        <v>1392</v>
      </c>
      <c r="S8" s="102" t="s">
        <v>2571</v>
      </c>
      <c r="T8" s="103" t="s">
        <v>2572</v>
      </c>
      <c r="U8" s="103" t="s">
        <v>1482</v>
      </c>
      <c r="V8" s="103" t="s">
        <v>1483</v>
      </c>
      <c r="W8" s="103" t="s">
        <v>1484</v>
      </c>
      <c r="X8" s="103" t="s">
        <v>1485</v>
      </c>
      <c r="Y8" s="103" t="s">
        <v>1486</v>
      </c>
      <c r="Z8" s="103" t="s">
        <v>1487</v>
      </c>
      <c r="AA8" s="103" t="s">
        <v>1184</v>
      </c>
    </row>
    <row r="9" spans="1:27" ht="58.15" customHeight="1">
      <c r="A9" s="253"/>
      <c r="B9" s="99" t="str">
        <f t="shared" si="0"/>
        <v>Dodd-Frank</v>
      </c>
      <c r="C9" s="99" t="str">
        <f t="shared" si="1"/>
        <v>2010 United States legislation, Dodd-Frank Wall Street Reform and Consumer Protection Act, Section 1502 (“Dodd-Frank”) (http://www.sec.gov/about/laws/wallstreetreform-cpa.pdf)</v>
      </c>
      <c r="D9" s="251"/>
      <c r="L9" s="102" t="s">
        <v>1882</v>
      </c>
      <c r="M9" s="102" t="s">
        <v>1393</v>
      </c>
      <c r="N9" s="102" t="s">
        <v>1394</v>
      </c>
      <c r="O9" s="102" t="s">
        <v>1882</v>
      </c>
      <c r="P9" s="102" t="s">
        <v>1882</v>
      </c>
      <c r="Q9" s="102" t="s">
        <v>1882</v>
      </c>
      <c r="R9" s="102" t="s">
        <v>1882</v>
      </c>
      <c r="S9" s="102" t="s">
        <v>1882</v>
      </c>
      <c r="T9" s="103" t="s">
        <v>2573</v>
      </c>
      <c r="U9" s="103" t="s">
        <v>1488</v>
      </c>
      <c r="V9" s="103" t="s">
        <v>1489</v>
      </c>
      <c r="W9" s="103" t="s">
        <v>1490</v>
      </c>
      <c r="X9" s="103" t="s">
        <v>1491</v>
      </c>
      <c r="Y9" s="103" t="s">
        <v>1492</v>
      </c>
      <c r="Z9" s="103" t="s">
        <v>1493</v>
      </c>
      <c r="AA9" s="103" t="s">
        <v>1185</v>
      </c>
    </row>
    <row r="10" spans="1:27" ht="15">
      <c r="A10" s="253"/>
      <c r="B10" s="99" t="str">
        <f t="shared" si="0"/>
        <v>DRC</v>
      </c>
      <c r="C10" s="99" t="str">
        <f t="shared" si="1"/>
        <v>Democratic Republic of Congo</v>
      </c>
      <c r="D10" s="251"/>
      <c r="L10" s="102" t="s">
        <v>1842</v>
      </c>
      <c r="M10" s="102" t="s">
        <v>1878</v>
      </c>
      <c r="N10" s="102" t="s">
        <v>1395</v>
      </c>
      <c r="O10" s="102" t="s">
        <v>1396</v>
      </c>
      <c r="P10" s="102" t="s">
        <v>1397</v>
      </c>
      <c r="Q10" s="102" t="s">
        <v>1397</v>
      </c>
      <c r="R10" s="102" t="s">
        <v>1842</v>
      </c>
      <c r="S10" s="102" t="s">
        <v>1842</v>
      </c>
      <c r="T10" s="103" t="s">
        <v>1494</v>
      </c>
      <c r="U10" s="103" t="s">
        <v>1878</v>
      </c>
      <c r="V10" s="103" t="s">
        <v>1908</v>
      </c>
      <c r="W10" s="103" t="s">
        <v>1495</v>
      </c>
      <c r="X10" s="103" t="s">
        <v>1496</v>
      </c>
      <c r="Y10" s="103" t="s">
        <v>1497</v>
      </c>
      <c r="Z10" s="103" t="s">
        <v>1498</v>
      </c>
      <c r="AA10" s="103" t="s">
        <v>1186</v>
      </c>
    </row>
    <row r="11" spans="1:27" ht="121.9" customHeight="1">
      <c r="A11" s="253"/>
      <c r="B11" s="99" t="str">
        <f t="shared" si="0"/>
        <v>DRC Conflict-Free</v>
      </c>
      <c r="C11" s="99" t="str">
        <f t="shared" si="1"/>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51"/>
      <c r="L11" s="102" t="s">
        <v>1844</v>
      </c>
      <c r="M11" s="102" t="s">
        <v>1398</v>
      </c>
      <c r="N11" s="102" t="s">
        <v>1944</v>
      </c>
      <c r="O11" s="102" t="s">
        <v>1844</v>
      </c>
      <c r="P11" s="102" t="s">
        <v>1399</v>
      </c>
      <c r="Q11" s="102" t="s">
        <v>1400</v>
      </c>
      <c r="R11" s="102" t="s">
        <v>1401</v>
      </c>
      <c r="S11" s="102" t="s">
        <v>1169</v>
      </c>
      <c r="T11" s="103" t="s">
        <v>2574</v>
      </c>
      <c r="U11" s="103" t="s">
        <v>1499</v>
      </c>
      <c r="V11" s="103" t="s">
        <v>1500</v>
      </c>
      <c r="W11" s="103" t="s">
        <v>1501</v>
      </c>
      <c r="X11" s="103" t="s">
        <v>1502</v>
      </c>
      <c r="Y11" s="103" t="s">
        <v>1503</v>
      </c>
      <c r="Z11" s="103" t="s">
        <v>1504</v>
      </c>
      <c r="AA11" s="103" t="s">
        <v>1187</v>
      </c>
    </row>
    <row r="12" spans="1:27" ht="40.9" customHeight="1">
      <c r="A12" s="253"/>
      <c r="B12" s="99" t="str">
        <f t="shared" si="0"/>
        <v>EICC</v>
      </c>
      <c r="C12" s="99" t="str">
        <f t="shared" si="1"/>
        <v>Electronics Industry Citizenship Coalition (www.eicc.info)</v>
      </c>
      <c r="D12" s="251"/>
      <c r="L12" s="102" t="s">
        <v>1837</v>
      </c>
      <c r="M12" s="102" t="s">
        <v>1402</v>
      </c>
      <c r="N12" s="102" t="s">
        <v>1837</v>
      </c>
      <c r="O12" s="102" t="s">
        <v>1837</v>
      </c>
      <c r="P12" s="102" t="s">
        <v>1837</v>
      </c>
      <c r="Q12" s="102" t="s">
        <v>1837</v>
      </c>
      <c r="R12" s="102" t="s">
        <v>1837</v>
      </c>
      <c r="S12" s="102" t="s">
        <v>1837</v>
      </c>
      <c r="T12" s="103" t="s">
        <v>1846</v>
      </c>
      <c r="U12" s="103" t="s">
        <v>1505</v>
      </c>
      <c r="V12" s="103" t="s">
        <v>1909</v>
      </c>
      <c r="W12" s="103" t="s">
        <v>1886</v>
      </c>
      <c r="X12" s="103" t="s">
        <v>1846</v>
      </c>
      <c r="Y12" s="103" t="s">
        <v>1506</v>
      </c>
      <c r="Z12" s="103" t="s">
        <v>1846</v>
      </c>
      <c r="AA12" s="103" t="s">
        <v>1188</v>
      </c>
    </row>
    <row r="13" spans="1:27" ht="43.9" customHeight="1">
      <c r="A13" s="253"/>
      <c r="B13" s="99" t="str">
        <f t="shared" si="0"/>
        <v xml:space="preserve">GeSI </v>
      </c>
      <c r="C13" s="99" t="str">
        <f t="shared" si="1"/>
        <v>Global e-Sustainability Initiative (www.gesi.org)</v>
      </c>
      <c r="D13" s="251"/>
      <c r="L13" s="102" t="s">
        <v>1838</v>
      </c>
      <c r="M13" s="102" t="s">
        <v>1403</v>
      </c>
      <c r="N13" s="102" t="s">
        <v>1881</v>
      </c>
      <c r="O13" s="102" t="s">
        <v>1881</v>
      </c>
      <c r="P13" s="102" t="s">
        <v>1881</v>
      </c>
      <c r="Q13" s="102" t="s">
        <v>1881</v>
      </c>
      <c r="R13" s="102" t="s">
        <v>1881</v>
      </c>
      <c r="S13" s="102" t="s">
        <v>1838</v>
      </c>
      <c r="T13" s="103" t="s">
        <v>1847</v>
      </c>
      <c r="U13" s="103" t="s">
        <v>1507</v>
      </c>
      <c r="V13" s="103" t="s">
        <v>1910</v>
      </c>
      <c r="W13" s="103" t="s">
        <v>1887</v>
      </c>
      <c r="X13" s="103" t="s">
        <v>1847</v>
      </c>
      <c r="Y13" s="103" t="s">
        <v>1508</v>
      </c>
      <c r="Z13" s="103" t="s">
        <v>1847</v>
      </c>
      <c r="AA13" s="103" t="s">
        <v>1189</v>
      </c>
    </row>
    <row r="14" spans="1:27" ht="70.150000000000006" customHeight="1">
      <c r="A14" s="253"/>
      <c r="B14" s="99" t="str">
        <f t="shared" si="0"/>
        <v>Gold Refiner (smelter)</v>
      </c>
      <c r="C14" s="99" t="str">
        <f t="shared" si="1"/>
        <v>A gold refiner is a metallurgical operation that produces fine gold with a concentration of 99.5% or higher from gold and gold-bearing materials with lower concentrations.</v>
      </c>
      <c r="D14" s="251"/>
      <c r="L14" s="100" t="s">
        <v>2458</v>
      </c>
      <c r="M14" s="100" t="s">
        <v>1404</v>
      </c>
      <c r="N14" s="100" t="s">
        <v>1405</v>
      </c>
      <c r="O14" s="100" t="s">
        <v>1406</v>
      </c>
      <c r="P14" s="100" t="s">
        <v>1407</v>
      </c>
      <c r="Q14" s="100" t="s">
        <v>1408</v>
      </c>
      <c r="R14" s="100" t="s">
        <v>1409</v>
      </c>
      <c r="S14" s="100" t="s">
        <v>1170</v>
      </c>
      <c r="T14" s="103" t="s">
        <v>2459</v>
      </c>
      <c r="U14" s="103" t="s">
        <v>1509</v>
      </c>
      <c r="V14" s="103" t="s">
        <v>1510</v>
      </c>
      <c r="W14" s="103" t="s">
        <v>1511</v>
      </c>
      <c r="X14" s="103" t="s">
        <v>1512</v>
      </c>
      <c r="Y14" s="103" t="s">
        <v>1513</v>
      </c>
      <c r="Z14" s="103" t="s">
        <v>1514</v>
      </c>
      <c r="AA14" s="103" t="s">
        <v>1190</v>
      </c>
    </row>
    <row r="15" spans="1:27" ht="38.450000000000003" customHeight="1">
      <c r="A15" s="253"/>
      <c r="B15" s="99" t="str">
        <f t="shared" si="0"/>
        <v>OECD</v>
      </c>
      <c r="C15" s="99" t="str">
        <f t="shared" si="1"/>
        <v>Organization for Economic Co-operation and Development</v>
      </c>
      <c r="D15" s="251"/>
      <c r="L15" s="102" t="s">
        <v>1840</v>
      </c>
      <c r="M15" s="102" t="s">
        <v>1410</v>
      </c>
      <c r="N15" s="102" t="s">
        <v>1411</v>
      </c>
      <c r="O15" s="102" t="s">
        <v>1840</v>
      </c>
      <c r="P15" s="102" t="s">
        <v>1412</v>
      </c>
      <c r="Q15" s="102" t="s">
        <v>1412</v>
      </c>
      <c r="R15" s="102" t="s">
        <v>1840</v>
      </c>
      <c r="S15" s="102" t="s">
        <v>1840</v>
      </c>
      <c r="T15" s="103" t="s">
        <v>1515</v>
      </c>
      <c r="U15" s="103" t="s">
        <v>1880</v>
      </c>
      <c r="V15" s="103" t="s">
        <v>1911</v>
      </c>
      <c r="W15" s="103" t="s">
        <v>1516</v>
      </c>
      <c r="X15" s="103" t="s">
        <v>1517</v>
      </c>
      <c r="Y15" s="103" t="s">
        <v>1518</v>
      </c>
      <c r="Z15" s="103" t="s">
        <v>1519</v>
      </c>
      <c r="AA15" s="103" t="s">
        <v>1191</v>
      </c>
    </row>
    <row r="16" spans="1:27" ht="70.150000000000006" customHeight="1">
      <c r="A16" s="253"/>
      <c r="B16" s="99" t="str">
        <f t="shared" si="0"/>
        <v>Product</v>
      </c>
      <c r="C16" s="99" t="str">
        <f t="shared" si="1"/>
        <v>A company’s Product or Finished good is a material or item which has completed the final stage of manufacturing and/or processing and is available for distribution or sale to customers.</v>
      </c>
      <c r="D16" s="251"/>
      <c r="L16" s="102" t="s">
        <v>2575</v>
      </c>
      <c r="M16" s="102" t="s">
        <v>1413</v>
      </c>
      <c r="N16" s="102" t="s">
        <v>1414</v>
      </c>
      <c r="O16" s="102" t="s">
        <v>1415</v>
      </c>
      <c r="P16" s="102" t="s">
        <v>1416</v>
      </c>
      <c r="Q16" s="102" t="s">
        <v>1417</v>
      </c>
      <c r="R16" s="102" t="s">
        <v>1418</v>
      </c>
      <c r="S16" s="102" t="s">
        <v>1171</v>
      </c>
      <c r="T16" s="103" t="s">
        <v>2576</v>
      </c>
      <c r="U16" s="103" t="s">
        <v>1520</v>
      </c>
      <c r="V16" s="103" t="s">
        <v>1521</v>
      </c>
      <c r="W16" s="103" t="s">
        <v>1522</v>
      </c>
      <c r="X16" s="103" t="s">
        <v>1523</v>
      </c>
      <c r="Y16" s="103" t="s">
        <v>1524</v>
      </c>
      <c r="Z16" s="103" t="s">
        <v>1525</v>
      </c>
      <c r="AA16" s="103" t="s">
        <v>1192</v>
      </c>
    </row>
    <row r="17" spans="1:27" ht="30">
      <c r="A17" s="253"/>
      <c r="B17" s="99" t="str">
        <f t="shared" si="0"/>
        <v>Product Category</v>
      </c>
      <c r="C17" s="99" t="str">
        <f t="shared" si="1"/>
        <v>A group of products which can be described by an industry recognized generic term (ex. capacitors).</v>
      </c>
      <c r="D17" s="251"/>
      <c r="L17" s="102" t="s">
        <v>2577</v>
      </c>
      <c r="M17" s="102" t="s">
        <v>1419</v>
      </c>
      <c r="N17" s="102" t="s">
        <v>1420</v>
      </c>
      <c r="O17" s="102" t="s">
        <v>1421</v>
      </c>
      <c r="P17" s="102" t="s">
        <v>1422</v>
      </c>
      <c r="Q17" s="102" t="s">
        <v>1423</v>
      </c>
      <c r="R17" s="102" t="s">
        <v>1424</v>
      </c>
      <c r="S17" s="102" t="s">
        <v>1172</v>
      </c>
      <c r="T17" s="103" t="s">
        <v>2578</v>
      </c>
      <c r="U17" s="103" t="s">
        <v>1526</v>
      </c>
      <c r="V17" s="103" t="s">
        <v>1527</v>
      </c>
      <c r="W17" s="103" t="s">
        <v>1528</v>
      </c>
      <c r="X17" s="103" t="s">
        <v>1529</v>
      </c>
      <c r="Y17" s="103" t="s">
        <v>1530</v>
      </c>
      <c r="Z17" s="103" t="s">
        <v>1531</v>
      </c>
      <c r="AA17" s="103" t="s">
        <v>1193</v>
      </c>
    </row>
    <row r="18" spans="1:27" ht="101.45" customHeight="1">
      <c r="A18" s="253"/>
      <c r="B18" s="99" t="str">
        <f t="shared" si="0"/>
        <v>Recycled and Scrap Materials</v>
      </c>
      <c r="C18" s="99" t="str">
        <f t="shared" si="1"/>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51"/>
      <c r="L18" s="100" t="s">
        <v>1945</v>
      </c>
      <c r="M18" s="100" t="s">
        <v>1425</v>
      </c>
      <c r="N18" s="100" t="s">
        <v>1946</v>
      </c>
      <c r="O18" s="100" t="s">
        <v>1426</v>
      </c>
      <c r="P18" s="100" t="s">
        <v>1427</v>
      </c>
      <c r="Q18" s="100" t="s">
        <v>1428</v>
      </c>
      <c r="R18" s="100" t="s">
        <v>1429</v>
      </c>
      <c r="S18" s="100" t="s">
        <v>1173</v>
      </c>
      <c r="T18" s="208" t="s">
        <v>463</v>
      </c>
      <c r="U18" s="208" t="s">
        <v>490</v>
      </c>
      <c r="V18" s="208" t="s">
        <v>491</v>
      </c>
      <c r="W18" s="208" t="s">
        <v>24</v>
      </c>
      <c r="X18" s="208" t="s">
        <v>492</v>
      </c>
      <c r="Y18" s="208" t="s">
        <v>0</v>
      </c>
      <c r="Z18" s="208" t="s">
        <v>1</v>
      </c>
      <c r="AA18" s="208" t="s">
        <v>489</v>
      </c>
    </row>
    <row r="19" spans="1:27" ht="37.9" customHeight="1">
      <c r="A19" s="253"/>
      <c r="B19" s="99" t="str">
        <f t="shared" si="0"/>
        <v>SEC</v>
      </c>
      <c r="C19" s="99" t="str">
        <f t="shared" si="1"/>
        <v>Security Exchange Commision (www.sec.gov)</v>
      </c>
      <c r="D19" s="251"/>
      <c r="L19" s="102" t="s">
        <v>1839</v>
      </c>
      <c r="M19" s="102" t="s">
        <v>1430</v>
      </c>
      <c r="N19" s="102" t="s">
        <v>1431</v>
      </c>
      <c r="O19" s="102" t="s">
        <v>1432</v>
      </c>
      <c r="P19" s="102" t="s">
        <v>1839</v>
      </c>
      <c r="Q19" s="102" t="s">
        <v>1839</v>
      </c>
      <c r="R19" s="102" t="s">
        <v>1839</v>
      </c>
      <c r="S19" s="102" t="s">
        <v>1839</v>
      </c>
      <c r="T19" s="103" t="s">
        <v>1848</v>
      </c>
      <c r="U19" s="103" t="s">
        <v>925</v>
      </c>
      <c r="V19" s="103" t="s">
        <v>1912</v>
      </c>
      <c r="W19" s="103" t="s">
        <v>1532</v>
      </c>
      <c r="X19" s="103" t="s">
        <v>1848</v>
      </c>
      <c r="Y19" s="103" t="s">
        <v>1848</v>
      </c>
      <c r="Z19" s="103" t="s">
        <v>1848</v>
      </c>
      <c r="AA19" s="103" t="s">
        <v>1848</v>
      </c>
    </row>
    <row r="20" spans="1:27" ht="91.15" customHeight="1">
      <c r="A20" s="253"/>
      <c r="B20" s="99" t="str">
        <f t="shared" si="0"/>
        <v>Smelter</v>
      </c>
      <c r="C20" s="99" t="str">
        <f t="shared" si="1"/>
        <v>A smelter is a company that procures and processes mineral ore, slag and / or recycled materials and scrap into refined metal or metal containing intermediate products.  The output can be pure (99.5% or greater) metals, powders, ingots, bars, grains, oxides or salts.</v>
      </c>
      <c r="D20" s="251"/>
      <c r="E20" s="104"/>
      <c r="L20" s="100" t="s">
        <v>1947</v>
      </c>
      <c r="M20" s="100" t="s">
        <v>1433</v>
      </c>
      <c r="N20" s="100" t="s">
        <v>1948</v>
      </c>
      <c r="O20" s="100" t="s">
        <v>1434</v>
      </c>
      <c r="P20" s="100" t="s">
        <v>1435</v>
      </c>
      <c r="Q20" s="100" t="s">
        <v>1436</v>
      </c>
      <c r="R20" s="100" t="s">
        <v>1437</v>
      </c>
      <c r="S20" s="100" t="s">
        <v>1174</v>
      </c>
      <c r="T20" s="103" t="s">
        <v>2579</v>
      </c>
      <c r="U20" s="103" t="s">
        <v>1533</v>
      </c>
      <c r="V20" s="103" t="s">
        <v>1534</v>
      </c>
      <c r="W20" s="103" t="s">
        <v>1885</v>
      </c>
      <c r="X20" s="103" t="s">
        <v>1535</v>
      </c>
      <c r="Y20" s="103" t="s">
        <v>1536</v>
      </c>
      <c r="Z20" s="103" t="s">
        <v>928</v>
      </c>
      <c r="AA20" s="103" t="s">
        <v>1194</v>
      </c>
    </row>
    <row r="21" spans="1:27" ht="132" customHeight="1">
      <c r="A21" s="253"/>
      <c r="B21" s="99" t="str">
        <f t="shared" si="0"/>
        <v>Tantalum Smelter</v>
      </c>
      <c r="C21" s="99" t="str">
        <f t="shared" si="1"/>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51"/>
      <c r="L21" s="100" t="s">
        <v>1949</v>
      </c>
      <c r="M21" s="100" t="s">
        <v>1438</v>
      </c>
      <c r="N21" s="100" t="s">
        <v>1950</v>
      </c>
      <c r="O21" s="100" t="s">
        <v>1439</v>
      </c>
      <c r="P21" s="100" t="s">
        <v>1440</v>
      </c>
      <c r="Q21" s="100" t="s">
        <v>1441</v>
      </c>
      <c r="R21" s="100" t="s">
        <v>1442</v>
      </c>
      <c r="S21" s="100" t="s">
        <v>1175</v>
      </c>
      <c r="T21" s="134" t="s">
        <v>2580</v>
      </c>
      <c r="U21" s="134" t="s">
        <v>1537</v>
      </c>
      <c r="V21" s="134" t="s">
        <v>1538</v>
      </c>
      <c r="W21" s="134" t="s">
        <v>1539</v>
      </c>
      <c r="X21" s="134" t="s">
        <v>1540</v>
      </c>
      <c r="Y21" s="134" t="s">
        <v>1541</v>
      </c>
      <c r="Z21" s="134" t="s">
        <v>1542</v>
      </c>
      <c r="AA21" s="134" t="s">
        <v>1195</v>
      </c>
    </row>
    <row r="22" spans="1:27" ht="157.15" customHeight="1">
      <c r="A22" s="253"/>
      <c r="B22" s="99" t="str">
        <f t="shared" si="0"/>
        <v>Tin Smelter</v>
      </c>
      <c r="C22" s="99" t="str">
        <f t="shared" si="1"/>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51"/>
      <c r="L22" s="100" t="s">
        <v>1951</v>
      </c>
      <c r="M22" s="100" t="s">
        <v>1443</v>
      </c>
      <c r="N22" s="100" t="s">
        <v>1952</v>
      </c>
      <c r="O22" s="100" t="s">
        <v>1444</v>
      </c>
      <c r="P22" s="100" t="s">
        <v>1445</v>
      </c>
      <c r="Q22" s="100" t="s">
        <v>1446</v>
      </c>
      <c r="R22" s="100" t="s">
        <v>1447</v>
      </c>
      <c r="S22" s="100" t="s">
        <v>1176</v>
      </c>
      <c r="T22" s="103" t="s">
        <v>2581</v>
      </c>
      <c r="U22" s="103" t="s">
        <v>1543</v>
      </c>
      <c r="V22" s="103" t="s">
        <v>1544</v>
      </c>
      <c r="W22" s="103" t="s">
        <v>1545</v>
      </c>
      <c r="X22" s="103" t="s">
        <v>1546</v>
      </c>
      <c r="Y22" s="103" t="s">
        <v>1547</v>
      </c>
      <c r="Z22" s="103" t="s">
        <v>1548</v>
      </c>
      <c r="AA22" s="103" t="s">
        <v>1196</v>
      </c>
    </row>
    <row r="23" spans="1:27" ht="125.45" customHeight="1">
      <c r="A23" s="253"/>
      <c r="B23" s="99" t="str">
        <f t="shared" si="0"/>
        <v>Tungsten Smelter</v>
      </c>
      <c r="C23" s="99" t="str">
        <f t="shared" si="1"/>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51"/>
      <c r="L23" s="100" t="s">
        <v>2582</v>
      </c>
      <c r="M23" s="100" t="s">
        <v>1448</v>
      </c>
      <c r="N23" s="100" t="s">
        <v>1953</v>
      </c>
      <c r="O23" s="100" t="s">
        <v>1449</v>
      </c>
      <c r="P23" s="100" t="s">
        <v>1450</v>
      </c>
      <c r="Q23" s="100" t="s">
        <v>1451</v>
      </c>
      <c r="R23" s="100" t="s">
        <v>1452</v>
      </c>
      <c r="S23" s="100" t="s">
        <v>1177</v>
      </c>
      <c r="T23" s="103" t="s">
        <v>2583</v>
      </c>
      <c r="U23" s="103" t="s">
        <v>1549</v>
      </c>
      <c r="V23" s="103" t="s">
        <v>845</v>
      </c>
      <c r="W23" s="103" t="s">
        <v>1550</v>
      </c>
      <c r="X23" s="103" t="s">
        <v>1551</v>
      </c>
      <c r="Y23" s="103" t="s">
        <v>1552</v>
      </c>
      <c r="Z23" s="103" t="s">
        <v>1553</v>
      </c>
      <c r="AA23" s="103" t="s">
        <v>470</v>
      </c>
    </row>
    <row r="24" spans="1:27" ht="13.5" thickBot="1">
      <c r="A24" s="254"/>
      <c r="B24" s="229" t="str">
        <f>IF($F$5="English",T24,IF($F$5="中文 Chinese",U24,IF($F$5="日本語 Japanese",V24,IF($F$5="한국어 Korean",W24,IF($F$5="Français",X24,IF($F$5="Português",Y24,IF($F$5="Deutsch",Z24,IF($F$5="Español",AA24))))))))</f>
        <v>© 2011 Electronic Industry Citizenship Coalition, Incorporated and Global e-Sustainability Initiative. All rights reserved.</v>
      </c>
      <c r="C24" s="229"/>
      <c r="D24" s="252"/>
      <c r="T24" s="165" t="s">
        <v>2584</v>
      </c>
      <c r="U24" s="165" t="s">
        <v>1358</v>
      </c>
      <c r="V24" s="165" t="s">
        <v>2584</v>
      </c>
      <c r="W24" s="165" t="s">
        <v>2584</v>
      </c>
      <c r="X24" s="165" t="s">
        <v>1359</v>
      </c>
      <c r="Y24" s="165" t="s">
        <v>1360</v>
      </c>
      <c r="Z24" s="165" t="s">
        <v>2584</v>
      </c>
      <c r="AA24" s="165" t="s">
        <v>1161</v>
      </c>
    </row>
    <row r="25" spans="1:27" ht="13.5" thickTop="1"/>
  </sheetData>
  <sheetProtection password="C453" sheet="1" objects="1" scenarios="1"/>
  <customSheetViews>
    <customSheetView guid="{81CF54B1-70AB-4A68-BB72-21925B5D4874}" hiddenColumns="1">
      <selection activeCell="F3" sqref="F3:J3"/>
      <pageMargins left="0.7" right="0.7" top="0.75" bottom="0.75" header="0.3" footer="0.3"/>
    </customSheetView>
  </customSheetViews>
  <mergeCells count="7">
    <mergeCell ref="F5:J5"/>
    <mergeCell ref="F7:J7"/>
    <mergeCell ref="F1:J4"/>
    <mergeCell ref="A1:D1"/>
    <mergeCell ref="B24:C24"/>
    <mergeCell ref="D2:D24"/>
    <mergeCell ref="A2:A24"/>
  </mergeCells>
  <phoneticPr fontId="0" type="noConversion"/>
  <dataValidations count="1">
    <dataValidation type="list" allowBlank="1" showInputMessage="1" showErrorMessage="1" sqref="F5:J5">
      <formula1>"English, 中文 Chinese,日本語 Japanese,한국어 Korean, Français,Português,Deutsch,Español"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enableFormatConditionsCalculation="0">
    <tabColor theme="2" tint="-0.499984740745262"/>
    <pageSetUpPr fitToPage="1"/>
  </sheetPr>
  <dimension ref="A1:T129"/>
  <sheetViews>
    <sheetView showZeros="0" tabSelected="1" zoomScale="70" zoomScaleNormal="70" zoomScalePageLayoutView="80" workbookViewId="0">
      <selection activeCell="D12" sqref="D12:J12"/>
    </sheetView>
  </sheetViews>
  <sheetFormatPr baseColWidth="10" defaultColWidth="8.75" defaultRowHeight="12.75"/>
  <cols>
    <col min="1" max="1" width="1.625" style="27" customWidth="1"/>
    <col min="2" max="2" width="83.25" style="27" customWidth="1"/>
    <col min="3" max="3" width="1.625" style="27" customWidth="1"/>
    <col min="4" max="5" width="16.625" style="27" customWidth="1"/>
    <col min="6" max="6" width="1.625" style="27" customWidth="1"/>
    <col min="7" max="9" width="16.625" style="27" customWidth="1"/>
    <col min="10" max="10" width="17.75" style="27" customWidth="1"/>
    <col min="11" max="11" width="1.625" style="27" customWidth="1"/>
    <col min="12" max="12" width="3.625" style="27" customWidth="1"/>
    <col min="13" max="13" width="27.375" style="27" customWidth="1"/>
    <col min="14" max="14" width="8.75" style="27" hidden="1" customWidth="1"/>
    <col min="15" max="15" width="8.75" style="76" hidden="1" customWidth="1"/>
    <col min="16" max="16" width="8.75" style="27" customWidth="1"/>
    <col min="17" max="17" width="3" style="27" customWidth="1"/>
    <col min="18" max="22" width="8.75" style="27" customWidth="1"/>
    <col min="23" max="16384" width="8.75" style="27"/>
  </cols>
  <sheetData>
    <row r="1" spans="1:20" ht="13.5" thickTop="1">
      <c r="A1" s="276"/>
      <c r="B1" s="277"/>
      <c r="C1" s="277"/>
      <c r="D1" s="277"/>
      <c r="E1" s="277"/>
      <c r="F1" s="277"/>
      <c r="G1" s="277"/>
      <c r="H1" s="277"/>
      <c r="I1" s="277"/>
      <c r="J1" s="277"/>
      <c r="K1" s="278"/>
    </row>
    <row r="2" spans="1:20" ht="116.25" customHeight="1">
      <c r="A2" s="28"/>
      <c r="B2" s="29"/>
      <c r="C2" s="30"/>
      <c r="D2" s="279" t="str">
        <f>IF($D$3="English",B82,IF($D$3="中文 Chinese",C82,IF($D$3="日本語 Japanese",D82,IF($D$3="한국어 Korean",E82,IF($D$3="Français",F82,IF($D$3="Português",G82,IF($D$3="Deutsch",H82,IF($D$3="Español",I82))))))))</f>
        <v>Conflict Minerals Reporting Template</v>
      </c>
      <c r="E2" s="279"/>
      <c r="F2" s="279"/>
      <c r="G2" s="279"/>
      <c r="H2" s="279"/>
      <c r="I2" s="279"/>
      <c r="J2" s="279"/>
      <c r="K2" s="105"/>
      <c r="L2" s="31"/>
      <c r="M2" s="109"/>
      <c r="N2" s="111" t="s">
        <v>2444</v>
      </c>
      <c r="O2" s="111" t="s">
        <v>2444</v>
      </c>
    </row>
    <row r="3" spans="1:20" ht="105" customHeight="1">
      <c r="A3" s="28"/>
      <c r="B3" s="198" t="s">
        <v>1162</v>
      </c>
      <c r="C3" s="61"/>
      <c r="D3" s="199" t="s">
        <v>1853</v>
      </c>
      <c r="F3" s="290" t="str">
        <f>IF(D8="","","Click here to check required fields completion")</f>
        <v>Click here to check required fields completion</v>
      </c>
      <c r="G3" s="290"/>
      <c r="H3" s="290"/>
      <c r="I3" s="132" t="e">
        <f ca="1">IF(Checker!D2=0,"",IF(Checker!D2=Checker!F56,"",IF(Checker!D2&gt;0,"1 or more required fields need to be populated")))</f>
        <v>#VALUE!</v>
      </c>
      <c r="J3" s="166" t="s">
        <v>153</v>
      </c>
      <c r="K3" s="105"/>
      <c r="T3" s="109"/>
    </row>
    <row r="4" spans="1:20" ht="36.75" customHeight="1">
      <c r="A4" s="28"/>
      <c r="B4" s="283" t="str">
        <f>IF($D$3="English",B84,IF($D$3="中文 Chinese",C84,IF($D$3="日本語 Japanese",D84,IF($D$3="한국어 Korean",E84,IF($D$3="Français",F84,IF($D$3="Português",G84,IF($D$3="Deutsch",H84,IF($D$3="Español",I84))))))))</f>
        <v>The purpose of this document is to collect sourcing information on tin, tantalum, tungsten and gold used in products</v>
      </c>
      <c r="C4" s="283"/>
      <c r="D4" s="283"/>
      <c r="E4" s="283"/>
      <c r="F4" s="283"/>
      <c r="G4" s="283"/>
      <c r="H4" s="283"/>
      <c r="I4" s="284" t="s">
        <v>2558</v>
      </c>
      <c r="J4" s="284"/>
      <c r="K4" s="105"/>
      <c r="L4" s="262"/>
    </row>
    <row r="5" spans="1:20" s="59" customFormat="1" ht="3" customHeight="1">
      <c r="A5" s="28"/>
      <c r="B5" s="62"/>
      <c r="C5" s="62"/>
      <c r="D5" s="62"/>
      <c r="E5" s="62"/>
      <c r="F5" s="62"/>
      <c r="G5" s="62"/>
      <c r="H5" s="62"/>
      <c r="I5" s="62"/>
      <c r="J5" s="62"/>
      <c r="K5" s="105"/>
      <c r="L5" s="262"/>
    </row>
    <row r="6" spans="1:20" ht="32.25" customHeight="1">
      <c r="A6" s="28"/>
      <c r="B6" s="268" t="str">
        <f>IF($D$3="English",B86,IF($D$3="中文 Chinese",C86,IF($D$3="日本語 Japanese",D86,IF($D$3="한국어 Korean",E86,IF($D$3="Français",F86,IF($D$3="Português",G86,IF($D$3="Deutsch",H86,IF($D$3="Español",I86))))))))</f>
        <v>Mandatory fields are noted with an asterisk (*). The information collected in this template should be updated annually. Any changes within the annual cycle should be provided to your customers</v>
      </c>
      <c r="C6" s="268"/>
      <c r="D6" s="268"/>
      <c r="E6" s="268"/>
      <c r="F6" s="268"/>
      <c r="G6" s="268"/>
      <c r="H6" s="268"/>
      <c r="I6" s="268"/>
      <c r="J6" s="268"/>
      <c r="K6" s="105"/>
      <c r="L6" s="262"/>
    </row>
    <row r="7" spans="1:20" ht="20.25" customHeight="1">
      <c r="A7" s="28"/>
      <c r="B7" s="291" t="str">
        <f>IF($D$3="English",B87,IF($D$3="中文 Chinese",C87,IF($D$3="日本語 Japanese",D87,IF($D$3="한국어 Korean",E87,IF($D$3="Français",F87,IF($D$3="Português",G87,IF($D$3="Deutsch",H87,IF($D$3="Español",I87))))))))</f>
        <v>Company Information</v>
      </c>
      <c r="C7" s="291"/>
      <c r="D7" s="291"/>
      <c r="E7" s="291"/>
      <c r="F7" s="291"/>
      <c r="G7" s="291"/>
      <c r="H7" s="291"/>
      <c r="I7" s="291"/>
      <c r="J7" s="291"/>
      <c r="K7" s="105"/>
      <c r="L7" s="143"/>
    </row>
    <row r="8" spans="1:20" ht="15.75">
      <c r="A8" s="159"/>
      <c r="B8" s="144" t="str">
        <f>IF($D$3="English",B88,IF($D$3="中文 Chinese",C88,IF($D$3="日本語 Japanese",D88,IF($D$3="한국어 Korean",E88,IF($D$3="Français",F88,IF($D$3="Português",G88,IF($D$3="Deutsch",H88,IF($D$3="Español",I88))))))))</f>
        <v>Company Name (*):</v>
      </c>
      <c r="C8" s="60"/>
      <c r="D8" s="280" t="s">
        <v>158</v>
      </c>
      <c r="E8" s="281"/>
      <c r="F8" s="281"/>
      <c r="G8" s="281"/>
      <c r="H8" s="281"/>
      <c r="I8" s="281"/>
      <c r="J8" s="282"/>
      <c r="K8" s="160"/>
      <c r="L8" s="262"/>
    </row>
    <row r="9" spans="1:20" ht="15.75">
      <c r="A9" s="159"/>
      <c r="B9" s="144" t="str">
        <f>IF($D$3="English",B89,IF($D$3="中文 Chinese",C89,IF($D$3="日本語 Japanese",D89,IF($D$3="한국어 Korean",E89,IF($D$3="Français",F89,IF($D$3="Português",G89,IF($D$3="Deutsch",H89,IF($D$3="Español",I89))))))))</f>
        <v>Declaration Scope (*):</v>
      </c>
      <c r="C9" s="60"/>
      <c r="D9" s="285" t="s">
        <v>2456</v>
      </c>
      <c r="E9" s="286"/>
      <c r="F9" s="286"/>
      <c r="G9" s="287"/>
      <c r="H9" s="142"/>
      <c r="I9" s="142"/>
      <c r="J9" s="142"/>
      <c r="K9" s="105"/>
      <c r="L9" s="262"/>
      <c r="N9" s="27">
        <f>IF(D9=B127,1,0)</f>
        <v>0</v>
      </c>
    </row>
    <row r="10" spans="1:20" ht="15.75">
      <c r="A10" s="159"/>
      <c r="B10" s="272" t="str">
        <f>IF($D$3="English",B90,IF($D$3="中文 Chinese",C90,IF($D$3="日本語 Japanese",D90,IF($D$3="한국어 Korean",E90,IF($D$3="Français",F90,IF($D$3="Português",G90,IF($D$3="Deutsch",H90,IF($D$3="Español",I90))))))))</f>
        <v>Description of Scope:</v>
      </c>
      <c r="C10" s="110"/>
      <c r="D10" s="269"/>
      <c r="E10" s="270"/>
      <c r="F10" s="270"/>
      <c r="G10" s="270"/>
      <c r="H10" s="270"/>
      <c r="I10" s="270"/>
      <c r="J10" s="271"/>
      <c r="K10" s="105"/>
      <c r="L10" s="262"/>
      <c r="N10" s="27">
        <f>IF(D9=B128,1,0)</f>
        <v>0</v>
      </c>
    </row>
    <row r="11" spans="1:20" ht="19.5">
      <c r="A11" s="159"/>
      <c r="B11" s="273"/>
      <c r="C11" s="110"/>
      <c r="D11" s="295" t="str">
        <f>IF(N11&gt;0,"Click here to enter the products this declaration applies to","")</f>
        <v/>
      </c>
      <c r="E11" s="296"/>
      <c r="F11" s="296"/>
      <c r="G11" s="296"/>
      <c r="H11" s="296"/>
      <c r="I11" s="296"/>
      <c r="J11" s="297"/>
      <c r="K11" s="105"/>
      <c r="L11" s="262"/>
      <c r="N11" s="27">
        <f>IF(D9=B129,2,0)</f>
        <v>0</v>
      </c>
    </row>
    <row r="12" spans="1:20" ht="15.75">
      <c r="A12" s="159"/>
      <c r="B12" s="63" t="str">
        <f t="shared" ref="B12:B18" si="0">IF($D$3="English",B91,IF($D$3="中文 Chinese",C91,IF($D$3="日本語 Japanese",D91,IF($D$3="한국어 Korean",E91,IF($D$3="Français",F91,IF($D$3="Português",G91,IF($D$3="Deutsch",H91,IF($D$3="Español",I91))))))))</f>
        <v>Company Unique Identifier:</v>
      </c>
      <c r="C12" s="30"/>
      <c r="D12" s="255" t="s">
        <v>341</v>
      </c>
      <c r="E12" s="256"/>
      <c r="F12" s="256"/>
      <c r="G12" s="256"/>
      <c r="H12" s="256"/>
      <c r="I12" s="256"/>
      <c r="J12" s="257"/>
      <c r="K12" s="105"/>
      <c r="L12" s="262"/>
      <c r="N12" s="27">
        <f>SUM(N9:N11)</f>
        <v>0</v>
      </c>
    </row>
    <row r="13" spans="1:20" ht="15.75">
      <c r="A13" s="159"/>
      <c r="B13" s="63" t="str">
        <f t="shared" si="0"/>
        <v>Address:</v>
      </c>
      <c r="C13" s="30"/>
      <c r="D13" s="255" t="s">
        <v>322</v>
      </c>
      <c r="E13" s="256"/>
      <c r="F13" s="256"/>
      <c r="G13" s="256"/>
      <c r="H13" s="256"/>
      <c r="I13" s="256"/>
      <c r="J13" s="257"/>
      <c r="K13" s="105"/>
      <c r="L13" s="262"/>
    </row>
    <row r="14" spans="1:20" ht="15.75">
      <c r="A14" s="159"/>
      <c r="B14" s="63" t="str">
        <f t="shared" si="0"/>
        <v>Authorized Company Representative Name (*):</v>
      </c>
      <c r="C14" s="30"/>
      <c r="D14" s="255" t="s">
        <v>326</v>
      </c>
      <c r="E14" s="256"/>
      <c r="F14" s="256"/>
      <c r="G14" s="256"/>
      <c r="H14" s="256"/>
      <c r="I14" s="256"/>
      <c r="J14" s="257"/>
      <c r="K14" s="105"/>
      <c r="L14" s="262"/>
    </row>
    <row r="15" spans="1:20" ht="15.75">
      <c r="A15" s="159"/>
      <c r="B15" s="63" t="str">
        <f t="shared" si="0"/>
        <v>Representative Title:</v>
      </c>
      <c r="C15" s="30"/>
      <c r="D15" s="255" t="s">
        <v>327</v>
      </c>
      <c r="E15" s="256"/>
      <c r="F15" s="256"/>
      <c r="G15" s="256"/>
      <c r="H15" s="256"/>
      <c r="I15" s="256"/>
      <c r="J15" s="257"/>
      <c r="K15" s="105"/>
      <c r="L15" s="262"/>
    </row>
    <row r="16" spans="1:20" ht="24.75" customHeight="1">
      <c r="A16" s="159"/>
      <c r="B16" s="63" t="str">
        <f t="shared" si="0"/>
        <v>Representative Email (*):</v>
      </c>
      <c r="C16" s="30"/>
      <c r="D16" s="265" t="s">
        <v>328</v>
      </c>
      <c r="E16" s="266"/>
      <c r="F16" s="266"/>
      <c r="G16" s="266"/>
      <c r="H16" s="266"/>
      <c r="I16" s="266"/>
      <c r="J16" s="267"/>
      <c r="K16" s="105"/>
      <c r="L16" s="262"/>
      <c r="M16" s="109"/>
    </row>
    <row r="17" spans="1:16" ht="15.75">
      <c r="A17" s="159"/>
      <c r="B17" s="63" t="str">
        <f t="shared" si="0"/>
        <v>Representative Phone:</v>
      </c>
      <c r="C17" s="30"/>
      <c r="D17" s="255" t="s">
        <v>329</v>
      </c>
      <c r="E17" s="256"/>
      <c r="F17" s="256"/>
      <c r="G17" s="256"/>
      <c r="H17" s="256"/>
      <c r="I17" s="256"/>
      <c r="J17" s="257"/>
      <c r="K17" s="105"/>
      <c r="L17" s="262"/>
    </row>
    <row r="18" spans="1:16" ht="21" customHeight="1">
      <c r="A18" s="159"/>
      <c r="B18" s="63" t="str">
        <f t="shared" si="0"/>
        <v>Date of Completion (*):</v>
      </c>
      <c r="C18" s="151"/>
      <c r="D18" s="274">
        <v>40053</v>
      </c>
      <c r="E18" s="275"/>
      <c r="F18" s="161"/>
      <c r="G18" s="147"/>
      <c r="H18" s="147"/>
      <c r="I18" s="147"/>
      <c r="J18" s="147"/>
      <c r="K18" s="105"/>
    </row>
    <row r="19" spans="1:16" ht="17.25" customHeight="1">
      <c r="A19" s="33"/>
      <c r="B19" s="135"/>
      <c r="C19" s="34"/>
      <c r="D19" s="294"/>
      <c r="E19" s="294"/>
      <c r="F19" s="35"/>
      <c r="G19" s="148"/>
      <c r="H19" s="148"/>
      <c r="I19" s="148"/>
      <c r="J19" s="148"/>
      <c r="K19" s="105"/>
      <c r="L19" s="38"/>
      <c r="P19" s="109"/>
    </row>
    <row r="20" spans="1:16" ht="17.25" customHeight="1">
      <c r="A20" s="150"/>
      <c r="B20" s="292" t="str">
        <f>IF($D$3="English",B98,IF($D$3="中文 Chinese",C98,IF($D$3="日本語 Japanese",D98,IF($D$3="한국어 Korean",E98,IF($D$3="Français",F98,IF($D$3="Português",G98,IF($D$3="Deutsch",H98,IF($D$3="Español",I98))))))))</f>
        <v>Answer the following questions 1 - 6 based on the declaration scope indicated above</v>
      </c>
      <c r="C20" s="292"/>
      <c r="D20" s="292"/>
      <c r="E20" s="292"/>
      <c r="F20" s="292"/>
      <c r="G20" s="292"/>
      <c r="H20" s="292"/>
      <c r="I20" s="292"/>
      <c r="J20" s="292"/>
      <c r="K20" s="152"/>
      <c r="L20" s="38"/>
      <c r="P20" s="109"/>
    </row>
    <row r="21" spans="1:16" ht="57.6" customHeight="1">
      <c r="A21" s="33"/>
      <c r="B21" s="64" t="str">
        <f>IF($D$3="English",B99,IF($D$3="中文 Chinese",C99,IF($D$3="日本語 Japanese",D99,IF($D$3="한국어 Korean",E99,IF($D$3="Français",F99,IF($D$3="Português",G99,IF($D$3="Deutsch",H99,IF($D$3="Español",I99))))))))</f>
        <v>1) Are any of the following metals necessary to the functionality or production of your company's products that it manufactures or contracts to manufacture? If no for all metals, you are done with this survey. (*)</v>
      </c>
      <c r="C21" s="65"/>
      <c r="D21" s="145" t="str">
        <f>IF($D$3="English",$J$83,IF($D$3="中文 Chinese",$K$83,IF($D$3="日本語 Japanese",$L$83,IF($D$3="한국어 Korean",$M$83,IF($D$3="Français",$N$83,IF($D$3="Português",$O$83,IF($D$3="Deutsch",$P$83,IF($D$3="Español",$Q$83))))))))</f>
        <v>Answer</v>
      </c>
      <c r="E21" s="66"/>
      <c r="F21" s="67"/>
      <c r="G21" s="64" t="str">
        <f>IF($D$3="English",$J$85,IF($D$3="中文 Chinese",$K$85,IF($D$3="日本語 Japanese",$L$85,IF($D$3="한국어 Korean",$M$85,IF($D$3="Français",$N$85,IF($D$3="Português",$O$85,IF($D$3="Deutsch",$P$85,IF($D$3="Español",$Q$85))))))))</f>
        <v>Comments</v>
      </c>
      <c r="H21" s="64"/>
      <c r="I21" s="64"/>
      <c r="J21" s="36"/>
      <c r="K21" s="105"/>
      <c r="L21" s="38"/>
      <c r="P21" s="109"/>
    </row>
    <row r="22" spans="1:16" ht="15.75">
      <c r="A22" s="33"/>
      <c r="B22" s="63" t="str">
        <f>IF($D$3="English",$J$86,IF($D$3="中文 Chinese",$K$86,IF($D$3="日本語 Japanese",$L$86,IF($D$3="한국어 Korean",$M$86,IF($D$3="Français",$N$86,IF($D$3="Português",$O$86,IF($D$3="Deutsch",$P$86,IF($D$3="Español",$Q$86))))))))</f>
        <v>Tantalum (Ta) (*)</v>
      </c>
      <c r="C22" s="30"/>
      <c r="D22" s="255" t="s">
        <v>323</v>
      </c>
      <c r="E22" s="257"/>
      <c r="F22" s="37"/>
      <c r="G22" s="255"/>
      <c r="H22" s="256"/>
      <c r="I22" s="256"/>
      <c r="J22" s="257"/>
      <c r="K22" s="105"/>
      <c r="L22" s="39"/>
      <c r="M22" s="109"/>
    </row>
    <row r="23" spans="1:16" ht="17.25" customHeight="1">
      <c r="A23" s="33"/>
      <c r="B23" s="63" t="str">
        <f>IF($D$3="English",$J$87,IF($D$3="中文 Chinese",$K$87,IF($D$3="日本語 Japanese",$L$87,IF($D$3="한국어 Korean",$M$87,IF($D$3="Français",$N$87,IF($D$3="Português",$O$87,IF($D$3="Deutsch",$P$87,IF($D$3="Español",$Q$87))))))))</f>
        <v>Tin (Sn) (*)</v>
      </c>
      <c r="C23" s="30"/>
      <c r="D23" s="255" t="s">
        <v>323</v>
      </c>
      <c r="E23" s="257"/>
      <c r="F23" s="37"/>
      <c r="G23" s="255"/>
      <c r="H23" s="256"/>
      <c r="I23" s="256"/>
      <c r="J23" s="257"/>
      <c r="K23" s="105"/>
      <c r="L23" s="39"/>
      <c r="N23" s="27">
        <f>IF(D22="Yes",1,0)</f>
        <v>1</v>
      </c>
      <c r="O23" s="27">
        <f>IF(D22="No",1,0)</f>
        <v>0</v>
      </c>
    </row>
    <row r="24" spans="1:16" ht="16.5" customHeight="1">
      <c r="A24" s="33"/>
      <c r="B24" s="63" t="str">
        <f>IF($D$3="English",$J$88,IF($D$3="中文 Chinese",$K$88,IF($D$3="日本語 Japanese",$L$88,IF($D$3="한국어 Korean",$M$88,IF($D$3="Français",$N$88,IF($D$3="Português",$O$88,IF($D$3="Deutsch",$P$88,IF($D$3="Español",$Q$88))))))))</f>
        <v>Gold (Au) (*)</v>
      </c>
      <c r="C24" s="30"/>
      <c r="D24" s="255" t="s">
        <v>323</v>
      </c>
      <c r="E24" s="257"/>
      <c r="F24" s="37"/>
      <c r="G24" s="255"/>
      <c r="H24" s="256"/>
      <c r="I24" s="256"/>
      <c r="J24" s="257"/>
      <c r="K24" s="105"/>
      <c r="L24" s="39"/>
      <c r="N24" s="27">
        <f>IF(D23="Yes",1,0)</f>
        <v>1</v>
      </c>
      <c r="O24" s="27">
        <f>IF(D23="No",1,0)</f>
        <v>0</v>
      </c>
    </row>
    <row r="25" spans="1:16" ht="18.75" customHeight="1">
      <c r="A25" s="33"/>
      <c r="B25" s="63" t="str">
        <f>IF($D$3="English",$J$89,IF($D$3="中文 Chinese",$K$89,IF($D$3="日本語 Japanese",$L$89,IF($D$3="한국어 Korean",$M$89,IF($D$3="Français",$N$89,IF($D$3="Português",$O$89,IF($D$3="Deutsch",$P$89,IF($D$3="Español",$Q$89))))))))</f>
        <v>Tungsten (W) (*)</v>
      </c>
      <c r="C25" s="30"/>
      <c r="D25" s="255" t="s">
        <v>323</v>
      </c>
      <c r="E25" s="257"/>
      <c r="F25" s="37"/>
      <c r="G25" s="255"/>
      <c r="H25" s="256"/>
      <c r="I25" s="256"/>
      <c r="J25" s="257"/>
      <c r="K25" s="105"/>
      <c r="L25" s="39"/>
      <c r="N25" s="27">
        <f>IF(D24="Yes",1,0)</f>
        <v>1</v>
      </c>
      <c r="O25" s="27">
        <f>IF(D24="No",1,0)</f>
        <v>0</v>
      </c>
    </row>
    <row r="26" spans="1:16" ht="15.75" customHeight="1">
      <c r="A26" s="33"/>
      <c r="B26" s="68"/>
      <c r="C26" s="34"/>
      <c r="D26" s="40"/>
      <c r="E26" s="40"/>
      <c r="F26" s="41"/>
      <c r="G26" s="40"/>
      <c r="H26" s="293"/>
      <c r="I26" s="293"/>
      <c r="J26" s="293"/>
      <c r="K26" s="105"/>
      <c r="L26" s="39"/>
      <c r="N26" s="27">
        <f>IF(D25="Yes",1,0)</f>
        <v>1</v>
      </c>
      <c r="O26" s="27">
        <f>IF(D25="No",1,0)</f>
        <v>0</v>
      </c>
    </row>
    <row r="27" spans="1:16" ht="31.5">
      <c r="A27" s="33"/>
      <c r="B27" s="64" t="str">
        <f>IF($D$3="English",B100,IF($D$3="中文 Chinese",C100,IF($D$3="日本語 Japanese",D100,IF($D$3="한국어 Korean",E100,IF($D$3="Français",F100,IF($D$3="Português",G100,IF($D$3="Deutsch",H100,IF($D$3="Español",I100))))))))</f>
        <v>2) Do the following metals (necessary to the functionality or production of your company's products) originate from the DRC or an adjoining country? (*)</v>
      </c>
      <c r="C27" s="34"/>
      <c r="D27" s="145" t="str">
        <f>IF($D$3="English",$J$83,IF($D$3="中文 Chinese",$K$83,IF($D$3="日本語 Japanese",$L$83,IF($D$3="한국어 Korean",$M$83,IF($D$3="Français",$N$83,IF($D$3="Português",$O$83,IF($D$3="Deutsch",$P$83,IF($D$3="Español",$Q$83))))))))</f>
        <v>Answer</v>
      </c>
      <c r="E27" s="66"/>
      <c r="F27" s="67"/>
      <c r="G27" s="64" t="str">
        <f>IF($D$3="English",$J$85,IF($D$3="中文 Chinese",$K$85,IF($D$3="日本語 Japanese",$L$85,IF($D$3="한국어 Korean",$M$85,IF($D$3="Français",$N$85,IF($D$3="Português",$O$85,IF($D$3="Deutsch",$P$85,IF($D$3="Español",$Q$85))))))))</f>
        <v>Comments</v>
      </c>
      <c r="H27" s="64"/>
      <c r="I27" s="64"/>
      <c r="J27" s="36"/>
      <c r="K27" s="105"/>
      <c r="L27" s="39"/>
      <c r="N27" s="27">
        <f>SUM(N23:N26)</f>
        <v>4</v>
      </c>
      <c r="O27" s="76">
        <f>SUM(O23:O26)</f>
        <v>0</v>
      </c>
    </row>
    <row r="28" spans="1:16" ht="15.75">
      <c r="A28" s="33"/>
      <c r="B28" s="63" t="str">
        <f>IF($D$3="English",$J$86,IF($D$3="中文 Chinese",$K$86,IF($D$3="日本語 Japanese",$L$86,IF($D$3="한국어 Korean",$M$86,IF($D$3="Français",$N$86,IF($D$3="Português",$O$86,IF($D$3="Deutsch",$P$86,IF($D$3="Español",$Q$86))))))))</f>
        <v>Tantalum (Ta) (*)</v>
      </c>
      <c r="C28" s="34"/>
      <c r="D28" s="255" t="s">
        <v>324</v>
      </c>
      <c r="E28" s="257"/>
      <c r="F28" s="176">
        <f>IF(D22="No",1,0)</f>
        <v>0</v>
      </c>
      <c r="G28" s="255"/>
      <c r="H28" s="256"/>
      <c r="I28" s="256"/>
      <c r="J28" s="257"/>
      <c r="K28" s="105"/>
      <c r="L28" s="39"/>
    </row>
    <row r="29" spans="1:16" ht="16.5" customHeight="1">
      <c r="A29" s="33"/>
      <c r="B29" s="63" t="str">
        <f>IF($D$3="English",$J$87,IF($D$3="中文 Chinese",$K$87,IF($D$3="日本語 Japanese",$L$87,IF($D$3="한국어 Korean",$M$87,IF($D$3="Français",$N$87,IF($D$3="Português",$O$87,IF($D$3="Deutsch",$P$87,IF($D$3="Español",$Q$87))))))))</f>
        <v>Tin (Sn) (*)</v>
      </c>
      <c r="C29" s="34"/>
      <c r="D29" s="255" t="s">
        <v>325</v>
      </c>
      <c r="E29" s="257"/>
      <c r="F29" s="176">
        <f>IF(D23="No",1,0)</f>
        <v>0</v>
      </c>
      <c r="G29" s="255" t="s">
        <v>332</v>
      </c>
      <c r="H29" s="256"/>
      <c r="I29" s="256"/>
      <c r="J29" s="257"/>
      <c r="K29" s="105"/>
      <c r="L29" s="39"/>
    </row>
    <row r="30" spans="1:16" ht="16.5" customHeight="1">
      <c r="A30" s="33"/>
      <c r="B30" s="63" t="str">
        <f>IF($D$3="English",$J$88,IF($D$3="中文 Chinese",$K$88,IF($D$3="日本語 Japanese",$L$88,IF($D$3="한국어 Korean",$M$88,IF($D$3="Français",$N$88,IF($D$3="Português",$O$88,IF($D$3="Deutsch",$P$88,IF($D$3="Español",$Q$88))))))))</f>
        <v>Gold (Au) (*)</v>
      </c>
      <c r="C30" s="34"/>
      <c r="D30" s="255" t="s">
        <v>325</v>
      </c>
      <c r="E30" s="257"/>
      <c r="F30" s="176">
        <f>IF(D24="No",1,0)</f>
        <v>0</v>
      </c>
      <c r="G30" s="255" t="s">
        <v>332</v>
      </c>
      <c r="H30" s="256"/>
      <c r="I30" s="256"/>
      <c r="J30" s="257"/>
      <c r="K30" s="105"/>
      <c r="L30" s="39"/>
    </row>
    <row r="31" spans="1:16" ht="16.5" customHeight="1">
      <c r="A31" s="33"/>
      <c r="B31" s="63" t="str">
        <f>IF($D$3="English",$J$89,IF($D$3="中文 Chinese",$K$89,IF($D$3="日本語 Japanese",$L$89,IF($D$3="한국어 Korean",$M$89,IF($D$3="Français",$N$89,IF($D$3="Português",$O$89,IF($D$3="Deutsch",$P$89,IF($D$3="Español",$Q$89))))))))</f>
        <v>Tungsten (W) (*)</v>
      </c>
      <c r="C31" s="34"/>
      <c r="D31" s="255" t="s">
        <v>325</v>
      </c>
      <c r="E31" s="257"/>
      <c r="F31" s="176">
        <f>IF(D25="No",1,0)</f>
        <v>0</v>
      </c>
      <c r="G31" s="255" t="s">
        <v>332</v>
      </c>
      <c r="H31" s="256"/>
      <c r="I31" s="256"/>
      <c r="J31" s="257"/>
      <c r="K31" s="105"/>
      <c r="L31" s="39"/>
    </row>
    <row r="32" spans="1:16" ht="16.5" customHeight="1">
      <c r="A32" s="33"/>
      <c r="B32" s="136"/>
      <c r="C32" s="34"/>
      <c r="D32" s="41"/>
      <c r="E32" s="41"/>
      <c r="F32" s="176"/>
      <c r="G32" s="41"/>
      <c r="H32" s="140"/>
      <c r="I32" s="140"/>
      <c r="J32" s="140"/>
      <c r="K32" s="105"/>
      <c r="L32" s="39"/>
    </row>
    <row r="33" spans="1:13" ht="31.5">
      <c r="A33" s="33"/>
      <c r="B33" s="64" t="str">
        <f>IF($D$3="English",B101,IF($D$3="中文 Chinese",C101,IF($D$3="日本語 Japanese",D101,IF($D$3="한국어 Korean",E101,IF($D$3="Français",F101,IF($D$3="Português",G101,IF($D$3="Deutsch",H101,IF($D$3="Español",I101))))))))</f>
        <v>3) Do the following metals (necessary to the functionality or production of your products) come from a recycler or scrap supplier? (*)</v>
      </c>
      <c r="C33" s="34"/>
      <c r="D33" s="145" t="str">
        <f>IF($D$3="English",$J$83,IF($D$3="中文 Chinese",$K$83,IF($D$3="日本語 Japanese",$L$83,IF($D$3="한국어 Korean",$M$83,IF($D$3="Français",$N$83,IF($D$3="Português",$O$83,IF($D$3="Deutsch",$P$83,IF($D$3="Español",$Q$83))))))))</f>
        <v>Answer</v>
      </c>
      <c r="E33" s="66"/>
      <c r="F33" s="177"/>
      <c r="G33" s="64" t="str">
        <f>IF($D$3="English",$J$85,IF($D$3="中文 Chinese",$K$85,IF($D$3="日本語 Japanese",$L$85,IF($D$3="한국어 Korean",$M$85,IF($D$3="Français",$N$85,IF($D$3="Português",$O$85,IF($D$3="Deutsch",$P$85,IF($D$3="Español",$Q$85))))))))</f>
        <v>Comments</v>
      </c>
      <c r="H33" s="64"/>
      <c r="I33" s="64"/>
      <c r="J33" s="36"/>
      <c r="K33" s="105"/>
      <c r="L33" s="39"/>
    </row>
    <row r="34" spans="1:13" ht="15.75">
      <c r="A34" s="33"/>
      <c r="B34" s="63" t="str">
        <f>IF($D$3="English",$J$86,IF($D$3="中文 Chinese",$K$86,IF($D$3="日本語 Japanese",$L$86,IF($D$3="한국어 Korean",$M$86,IF($D$3="Français",$N$86,IF($D$3="Português",$O$86,IF($D$3="Deutsch",$P$86,IF($D$3="Español",$Q$86))))))))</f>
        <v>Tantalum (Ta) (*)</v>
      </c>
      <c r="C34" s="34"/>
      <c r="D34" s="255" t="s">
        <v>323</v>
      </c>
      <c r="E34" s="257"/>
      <c r="F34" s="176">
        <f>IF(D22="No",1,0)</f>
        <v>0</v>
      </c>
      <c r="G34" s="255"/>
      <c r="H34" s="256"/>
      <c r="I34" s="256"/>
      <c r="J34" s="257"/>
      <c r="K34" s="105"/>
      <c r="L34" s="39"/>
    </row>
    <row r="35" spans="1:13" ht="16.5" customHeight="1">
      <c r="A35" s="33"/>
      <c r="B35" s="63" t="str">
        <f>IF($D$3="English",$J$87,IF($D$3="中文 Chinese",$K$87,IF($D$3="日本語 Japanese",$L$87,IF($D$3="한국어 Korean",$M$87,IF($D$3="Français",$N$87,IF($D$3="Português",$O$87,IF($D$3="Deutsch",$P$87,IF($D$3="Español",$Q$87))))))))</f>
        <v>Tin (Sn) (*)</v>
      </c>
      <c r="C35" s="34"/>
      <c r="D35" s="255" t="s">
        <v>323</v>
      </c>
      <c r="E35" s="257"/>
      <c r="F35" s="176">
        <f>IF(D23="No",1,0)</f>
        <v>0</v>
      </c>
      <c r="G35" s="255"/>
      <c r="H35" s="256"/>
      <c r="I35" s="256"/>
      <c r="J35" s="257"/>
      <c r="K35" s="105"/>
      <c r="L35" s="39"/>
    </row>
    <row r="36" spans="1:13" ht="16.5" customHeight="1">
      <c r="A36" s="33"/>
      <c r="B36" s="63" t="str">
        <f>IF($D$3="English",$J$88,IF($D$3="中文 Chinese",$K$88,IF($D$3="日本語 Japanese",$L$88,IF($D$3="한국어 Korean",$M$88,IF($D$3="Français",$N$88,IF($D$3="Português",$O$88,IF($D$3="Deutsch",$P$88,IF($D$3="Español",$Q$88))))))))</f>
        <v>Gold (Au) (*)</v>
      </c>
      <c r="C36" s="34"/>
      <c r="D36" s="255" t="s">
        <v>323</v>
      </c>
      <c r="E36" s="257"/>
      <c r="F36" s="176">
        <f>IF(D24="No",1,0)</f>
        <v>0</v>
      </c>
      <c r="G36" s="255"/>
      <c r="H36" s="256"/>
      <c r="I36" s="256"/>
      <c r="J36" s="257"/>
      <c r="K36" s="105"/>
      <c r="L36" s="39"/>
    </row>
    <row r="37" spans="1:13" ht="16.5" customHeight="1">
      <c r="A37" s="33"/>
      <c r="B37" s="63" t="str">
        <f>IF($D$3="English",$J$89,IF($D$3="中文 Chinese",$K$89,IF($D$3="日本語 Japanese",$L$89,IF($D$3="한국어 Korean",$M$89,IF($D$3="Français",$N$89,IF($D$3="Português",$O$89,IF($D$3="Deutsch",$P$89,IF($D$3="Español",$Q$89))))))))</f>
        <v>Tungsten (W) (*)</v>
      </c>
      <c r="C37" s="34"/>
      <c r="D37" s="255" t="s">
        <v>323</v>
      </c>
      <c r="E37" s="257"/>
      <c r="F37" s="176">
        <f>IF(D25="No",1,0)</f>
        <v>0</v>
      </c>
      <c r="G37" s="255"/>
      <c r="H37" s="256"/>
      <c r="I37" s="256"/>
      <c r="J37" s="257"/>
      <c r="K37" s="105"/>
      <c r="L37" s="39"/>
    </row>
    <row r="38" spans="1:13" ht="16.5" customHeight="1">
      <c r="A38" s="33"/>
      <c r="B38" s="136"/>
      <c r="C38" s="34"/>
      <c r="D38" s="41"/>
      <c r="E38" s="41"/>
      <c r="F38" s="176"/>
      <c r="G38" s="41"/>
      <c r="H38" s="140"/>
      <c r="I38" s="140"/>
      <c r="J38" s="140"/>
      <c r="K38" s="105"/>
      <c r="L38" s="39"/>
    </row>
    <row r="39" spans="1:13" ht="34.15" customHeight="1">
      <c r="A39" s="33"/>
      <c r="B39" s="69" t="str">
        <f>IF($D$3="English",B102,IF($D$3="中文 Chinese",C102,IF($D$3="日本語 Japanese",D102,IF($D$3="한국어 Korean",E102,IF($D$3="Français",F102,IF($D$3="Português",G102,IF($D$3="Deutsch",H102,IF($D$3="Español",I102))))))))</f>
        <v>4) Have you received completed Conflict Minerals Reporting Templates from all of your suppliers? (*)</v>
      </c>
      <c r="C39" s="34"/>
      <c r="D39" s="145" t="str">
        <f>IF($D$3="English",$J$83,IF($D$3="中文 Chinese",$K$83,IF($D$3="日本語 Japanese",$L$83,IF($D$3="한국어 Korean",$M$83,IF($D$3="Français",$N$83,IF($D$3="Português",$O$83,IF($D$3="Deutsch",$P$83,IF($D$3="Español",$Q$83))))))))</f>
        <v>Answer</v>
      </c>
      <c r="E39" s="66"/>
      <c r="F39" s="177"/>
      <c r="G39" s="64" t="str">
        <f>IF($D$3="English",$J$85,IF($D$3="中文 Chinese",$K$85,IF($D$3="日本語 Japanese",$L$85,IF($D$3="한국어 Korean",$M$85,IF($D$3="Français",$N$85,IF($D$3="Português",$O$85,IF($D$3="Deutsch",$P$85,IF($D$3="Español",$Q$85))))))))</f>
        <v>Comments</v>
      </c>
      <c r="H39" s="299" t="str">
        <f>IF(N27&gt;0,"Click here to enter smelter names","")</f>
        <v>Click here to enter smelter names</v>
      </c>
      <c r="I39" s="299"/>
      <c r="J39" s="299"/>
      <c r="K39" s="105"/>
      <c r="L39" s="39"/>
    </row>
    <row r="40" spans="1:13" ht="15.75">
      <c r="A40" s="33"/>
      <c r="B40" s="63" t="str">
        <f>IF($D$3="English",$J$86,IF($D$3="中文 Chinese",$K$86,IF($D$3="日本語 Japanese",$L$86,IF($D$3="한국어 Korean",$M$86,IF($D$3="Français",$N$86,IF($D$3="Português",$O$86,IF($D$3="Deutsch",$P$86,IF($D$3="Español",$Q$86))))))))</f>
        <v>Tantalum (Ta) (*)</v>
      </c>
      <c r="C40" s="30"/>
      <c r="D40" s="255" t="s">
        <v>330</v>
      </c>
      <c r="E40" s="257"/>
      <c r="F40" s="176">
        <f>IF(D22="No",1,0)</f>
        <v>0</v>
      </c>
      <c r="G40" s="255"/>
      <c r="H40" s="256"/>
      <c r="I40" s="256"/>
      <c r="J40" s="257"/>
      <c r="K40" s="105"/>
      <c r="L40" s="39"/>
    </row>
    <row r="41" spans="1:13" ht="16.5" customHeight="1">
      <c r="A41" s="33"/>
      <c r="B41" s="63" t="str">
        <f>IF($D$3="English",$J$87,IF($D$3="中文 Chinese",$K$87,IF($D$3="日本語 Japanese",$L$87,IF($D$3="한국어 Korean",$M$87,IF($D$3="Français",$N$87,IF($D$3="Português",$O$87,IF($D$3="Deutsch",$P$87,IF($D$3="Español",$Q$87))))))))</f>
        <v>Tin (Sn) (*)</v>
      </c>
      <c r="C41" s="30"/>
      <c r="D41" s="255" t="s">
        <v>330</v>
      </c>
      <c r="E41" s="257"/>
      <c r="F41" s="176">
        <f>IF(D23="No",1,0)</f>
        <v>0</v>
      </c>
      <c r="G41" s="255"/>
      <c r="H41" s="256"/>
      <c r="I41" s="256"/>
      <c r="J41" s="257"/>
      <c r="K41" s="105"/>
      <c r="L41" s="39"/>
    </row>
    <row r="42" spans="1:13" ht="16.5" customHeight="1">
      <c r="A42" s="33"/>
      <c r="B42" s="63" t="str">
        <f>IF($D$3="English",$J$88,IF($D$3="中文 Chinese",$K$88,IF($D$3="日本語 Japanese",$L$88,IF($D$3="한국어 Korean",$M$88,IF($D$3="Français",$N$88,IF($D$3="Português",$O$88,IF($D$3="Deutsch",$P$88,IF($D$3="Español",$Q$88))))))))</f>
        <v>Gold (Au) (*)</v>
      </c>
      <c r="C42" s="30"/>
      <c r="D42" s="255" t="s">
        <v>330</v>
      </c>
      <c r="E42" s="257"/>
      <c r="F42" s="176">
        <f>IF(D24="No",1,0)</f>
        <v>0</v>
      </c>
      <c r="G42" s="255"/>
      <c r="H42" s="256"/>
      <c r="I42" s="256"/>
      <c r="J42" s="257"/>
      <c r="K42" s="105"/>
      <c r="L42" s="39"/>
    </row>
    <row r="43" spans="1:13" ht="15.75">
      <c r="A43" s="33"/>
      <c r="B43" s="63" t="str">
        <f>IF($D$3="English",$J$89,IF($D$3="中文 Chinese",$K$89,IF($D$3="日本語 Japanese",$L$89,IF($D$3="한국어 Korean",$M$89,IF($D$3="Français",$N$89,IF($D$3="Português",$O$89,IF($D$3="Deutsch",$P$89,IF($D$3="Español",$Q$89))))))))</f>
        <v>Tungsten (W) (*)</v>
      </c>
      <c r="C43" s="30"/>
      <c r="D43" s="255" t="s">
        <v>330</v>
      </c>
      <c r="E43" s="257"/>
      <c r="F43" s="176">
        <f>IF(D25="No",1,0)</f>
        <v>0</v>
      </c>
      <c r="G43" s="255"/>
      <c r="H43" s="256"/>
      <c r="I43" s="256"/>
      <c r="J43" s="257"/>
      <c r="K43" s="105"/>
      <c r="L43" s="39"/>
      <c r="M43" s="32"/>
    </row>
    <row r="44" spans="1:13" ht="16.5" customHeight="1">
      <c r="A44" s="33"/>
      <c r="B44" s="68"/>
      <c r="C44" s="34"/>
      <c r="D44" s="42"/>
      <c r="E44" s="42"/>
      <c r="F44" s="176"/>
      <c r="G44" s="43"/>
      <c r="H44" s="43"/>
      <c r="I44" s="43"/>
      <c r="J44" s="43"/>
      <c r="K44" s="105"/>
      <c r="L44" s="39"/>
      <c r="M44" s="32"/>
    </row>
    <row r="45" spans="1:13" ht="52.9" customHeight="1">
      <c r="A45" s="33"/>
      <c r="B45" s="69" t="str">
        <f>IF($D$3="English",B103,IF($D$3="中文 Chinese",C103,IF($D$3="日本語 Japanese",D103,IF($D$3="한국어 Korean",E103,IF($D$3="Français",F103,IF($D$3="Português",G103,IF($D$3="Deutsch",H103,IF($D$3="Español",I103))))))))</f>
        <v>5) For each of the following metals, have you identified all of the smelters your company and its suppliers use to supply the products included within the declaration scope indicated above? (*)</v>
      </c>
      <c r="C45" s="34"/>
      <c r="D45" s="145" t="str">
        <f>IF($D$3="English",$J$83,IF($D$3="中文 Chinese",$K$83,IF($D$3="日本語 Japanese",$L$83,IF($D$3="한국어 Korean",$M$83,IF($D$3="Français",$N$83,IF($D$3="Português",$O$83,IF($D$3="Deutsch",$P$83,IF($D$3="Español",$Q$83))))))))</f>
        <v>Answer</v>
      </c>
      <c r="E45" s="66"/>
      <c r="F45" s="177"/>
      <c r="G45" s="64" t="str">
        <f>IF($D$3="English",$J$85,IF($D$3="中文 Chinese",$K$85,IF($D$3="日本語 Japanese",$L$85,IF($D$3="한국어 Korean",$M$85,IF($D$3="Français",$N$85,IF($D$3="Português",$O$85,IF($D$3="Deutsch",$P$85,IF($D$3="Español",$Q$85))))))))</f>
        <v>Comments</v>
      </c>
      <c r="H45" s="288" t="str">
        <f>IF(N45&gt;0,"Click here to enter smelter names","")</f>
        <v/>
      </c>
      <c r="I45" s="288"/>
      <c r="J45" s="288"/>
      <c r="K45" s="105"/>
      <c r="L45" s="39"/>
      <c r="M45" s="32"/>
    </row>
    <row r="46" spans="1:13" ht="15.75">
      <c r="A46" s="33"/>
      <c r="B46" s="63" t="str">
        <f>IF($D$3="English",$J$86,IF($D$3="中文 Chinese",$K$86,IF($D$3="日本語 Japanese",$L$86,IF($D$3="한국어 Korean",$M$86,IF($D$3="Français",$N$86,IF($D$3="Português",$O$86,IF($D$3="Deutsch",$P$86,IF($D$3="Español",$Q$86))))))))</f>
        <v>Tantalum (Ta) (*)</v>
      </c>
      <c r="C46" s="34"/>
      <c r="D46" s="255" t="s">
        <v>330</v>
      </c>
      <c r="E46" s="257"/>
      <c r="F46" s="176">
        <f>IF(D22="No",1,0)</f>
        <v>0</v>
      </c>
      <c r="G46" s="255"/>
      <c r="H46" s="256"/>
      <c r="I46" s="256"/>
      <c r="J46" s="257"/>
      <c r="K46" s="105"/>
      <c r="L46" s="39"/>
      <c r="M46" s="32"/>
    </row>
    <row r="47" spans="1:13" ht="16.5" customHeight="1">
      <c r="A47" s="33"/>
      <c r="B47" s="63" t="str">
        <f>IF($D$3="English",$J$87,IF($D$3="中文 Chinese",$K$87,IF($D$3="日本語 Japanese",$L$87,IF($D$3="한국어 Korean",$M$87,IF($D$3="Français",$N$87,IF($D$3="Português",$O$87,IF($D$3="Deutsch",$P$87,IF($D$3="Español",$Q$87))))))))</f>
        <v>Tin (Sn) (*)</v>
      </c>
      <c r="C47" s="34"/>
      <c r="D47" s="255" t="s">
        <v>330</v>
      </c>
      <c r="E47" s="257"/>
      <c r="F47" s="176">
        <f>IF(D23="No",1,0)</f>
        <v>0</v>
      </c>
      <c r="G47" s="255"/>
      <c r="H47" s="256"/>
      <c r="I47" s="256"/>
      <c r="J47" s="257"/>
      <c r="K47" s="105"/>
      <c r="L47" s="39"/>
      <c r="M47" s="32"/>
    </row>
    <row r="48" spans="1:13" ht="16.5" customHeight="1">
      <c r="A48" s="33"/>
      <c r="B48" s="63" t="str">
        <f>IF($D$3="English",$J$88,IF($D$3="中文 Chinese",$K$88,IF($D$3="日本語 Japanese",$L$88,IF($D$3="한국어 Korean",$M$88,IF($D$3="Français",$N$88,IF($D$3="Português",$O$88,IF($D$3="Deutsch",$P$88,IF($D$3="Español",$Q$88))))))))</f>
        <v>Gold (Au) (*)</v>
      </c>
      <c r="C48" s="34"/>
      <c r="D48" s="255" t="s">
        <v>330</v>
      </c>
      <c r="E48" s="257"/>
      <c r="F48" s="176">
        <f>IF(D24="No",1,0)</f>
        <v>0</v>
      </c>
      <c r="G48" s="255"/>
      <c r="H48" s="256"/>
      <c r="I48" s="256"/>
      <c r="J48" s="257"/>
      <c r="K48" s="105"/>
      <c r="L48" s="39"/>
      <c r="M48" s="32"/>
    </row>
    <row r="49" spans="1:13" ht="16.5" customHeight="1">
      <c r="A49" s="33"/>
      <c r="B49" s="63" t="str">
        <f>IF($D$3="English",$J$89,IF($D$3="中文 Chinese",$K$89,IF($D$3="日本語 Japanese",$L$89,IF($D$3="한국어 Korean",$M$89,IF($D$3="Français",$N$89,IF($D$3="Português",$O$89,IF($D$3="Deutsch",$P$89,IF($D$3="Español",$Q$89))))))))</f>
        <v>Tungsten (W) (*)</v>
      </c>
      <c r="C49" s="34"/>
      <c r="D49" s="255" t="s">
        <v>330</v>
      </c>
      <c r="E49" s="257"/>
      <c r="F49" s="176">
        <f>IF(D25="No",1,0)</f>
        <v>0</v>
      </c>
      <c r="G49" s="255"/>
      <c r="H49" s="256"/>
      <c r="I49" s="256"/>
      <c r="J49" s="257"/>
      <c r="K49" s="105"/>
      <c r="L49" s="39"/>
      <c r="M49" s="32"/>
    </row>
    <row r="50" spans="1:13" ht="16.5" customHeight="1">
      <c r="A50" s="33"/>
      <c r="B50" s="136"/>
      <c r="C50" s="34"/>
      <c r="D50" s="53"/>
      <c r="E50" s="53"/>
      <c r="F50" s="176"/>
      <c r="G50" s="137"/>
      <c r="H50" s="137"/>
      <c r="I50" s="137"/>
      <c r="J50" s="137"/>
      <c r="K50" s="105"/>
      <c r="L50" s="39"/>
      <c r="M50" s="32"/>
    </row>
    <row r="51" spans="1:13" ht="47.25">
      <c r="A51" s="33"/>
      <c r="B51" s="64" t="str">
        <f>IF($D$3="English",B104,IF($D$3="中文 Chinese",C104,IF($D$3="日本語 Japanese",D104,IF($D$3="한국어 Korean",E104,IF($D$3="Français",F104,IF($D$3="Português",G104,IF($D$3="Deutsch",H104,IF($D$3="Español",I104))))))))</f>
        <v>6) Have all of the smelters used by your company and its suppliers been validated as compliant in accordance with the Conflict-Free Smelter (CFS) Program and listed on the Compliant Smelter List for the following metals? (*)</v>
      </c>
      <c r="C51" s="34"/>
      <c r="D51" s="145" t="str">
        <f>IF($D$3="English",$J$83,IF($D$3="中文 Chinese",$K$83,IF($D$3="日本語 Japanese",$L$83,IF($D$3="한국어 Korean",$M$83,IF($D$3="Français",$N$83,IF($D$3="Português",$O$83,IF($D$3="Deutsch",$P$83,IF($D$3="Español",$Q$83))))))))</f>
        <v>Answer</v>
      </c>
      <c r="E51" s="66"/>
      <c r="F51" s="177"/>
      <c r="G51" s="64" t="str">
        <f>IF($D$3="English",$J$85,IF($D$3="中文 Chinese",$K$85,IF($D$3="日本語 Japanese",$L$85,IF($D$3="한국어 Korean",$M$85,IF($D$3="Français",$N$85,IF($D$3="Português",$O$85,IF($D$3="Deutsch",$P$85,IF($D$3="Español",$Q$85))))))))</f>
        <v>Comments</v>
      </c>
      <c r="H51" s="298" t="s">
        <v>2533</v>
      </c>
      <c r="I51" s="298"/>
      <c r="J51" s="298"/>
      <c r="K51" s="105"/>
      <c r="L51" s="39"/>
      <c r="M51" s="32"/>
    </row>
    <row r="52" spans="1:13" ht="15.75">
      <c r="A52" s="33"/>
      <c r="B52" s="63" t="str">
        <f>IF($D$3="English",$J$86,IF($D$3="中文 Chinese",$K$86,IF($D$3="日本語 Japanese",$L$86,IF($D$3="한국어 Korean",$M$86,IF($D$3="Français",$N$86,IF($D$3="Português",$O$86,IF($D$3="Deutsch",$P$86,IF($D$3="Español",$Q$86))))))))</f>
        <v>Tantalum (Ta) (*)</v>
      </c>
      <c r="C52" s="30"/>
      <c r="D52" s="255" t="s">
        <v>331</v>
      </c>
      <c r="E52" s="257"/>
      <c r="F52" s="178">
        <f>IF(D22="No",1,0)</f>
        <v>0</v>
      </c>
      <c r="G52" s="255"/>
      <c r="H52" s="256"/>
      <c r="I52" s="256"/>
      <c r="J52" s="257"/>
      <c r="K52" s="105"/>
      <c r="L52" s="39"/>
      <c r="M52" s="32"/>
    </row>
    <row r="53" spans="1:13" ht="16.5" customHeight="1">
      <c r="A53" s="33"/>
      <c r="B53" s="63" t="str">
        <f>IF($D$3="English",$J$87,IF($D$3="中文 Chinese",$K$87,IF($D$3="日本語 Japanese",$L$87,IF($D$3="한국어 Korean",$M$87,IF($D$3="Français",$N$87,IF($D$3="Português",$O$87,IF($D$3="Deutsch",$P$87,IF($D$3="Español",$Q$87))))))))</f>
        <v>Tin (Sn) (*)</v>
      </c>
      <c r="C53" s="30"/>
      <c r="D53" s="255" t="s">
        <v>331</v>
      </c>
      <c r="E53" s="257"/>
      <c r="F53" s="178">
        <f>IF(D23="No",1,0)</f>
        <v>0</v>
      </c>
      <c r="G53" s="255"/>
      <c r="H53" s="256"/>
      <c r="I53" s="256"/>
      <c r="J53" s="257"/>
      <c r="K53" s="105"/>
      <c r="L53" s="39"/>
      <c r="M53" s="32"/>
    </row>
    <row r="54" spans="1:13" ht="16.5" customHeight="1">
      <c r="A54" s="33"/>
      <c r="B54" s="63" t="str">
        <f>IF($D$3="English",$J$88,IF($D$3="中文 Chinese",$K$88,IF($D$3="日本語 Japanese",$L$88,IF($D$3="한국어 Korean",$M$88,IF($D$3="Français",$N$88,IF($D$3="Português",$O$88,IF($D$3="Deutsch",$P$88,IF($D$3="Español",$Q$88))))))))</f>
        <v>Gold (Au) (*)</v>
      </c>
      <c r="C54" s="30"/>
      <c r="D54" s="255" t="s">
        <v>331</v>
      </c>
      <c r="E54" s="257"/>
      <c r="F54" s="178">
        <f>IF(D24="No",1,0)</f>
        <v>0</v>
      </c>
      <c r="G54" s="255"/>
      <c r="H54" s="256"/>
      <c r="I54" s="256"/>
      <c r="J54" s="257"/>
      <c r="K54" s="105"/>
      <c r="L54" s="39"/>
      <c r="M54" s="32"/>
    </row>
    <row r="55" spans="1:13" ht="15.75">
      <c r="A55" s="159"/>
      <c r="B55" s="63" t="str">
        <f>IF($D$3="English",$J$89,IF($D$3="中文 Chinese",$K$89,IF($D$3="日本語 Japanese",$L$89,IF($D$3="한국어 Korean",$M$89,IF($D$3="Français",$N$89,IF($D$3="Português",$O$89,IF($D$3="Deutsch",$P$89,IF($D$3="Español",$Q$89))))))))</f>
        <v>Tungsten (W) (*)</v>
      </c>
      <c r="C55" s="154"/>
      <c r="D55" s="255" t="s">
        <v>331</v>
      </c>
      <c r="E55" s="257"/>
      <c r="F55" s="179">
        <f>IF(D25="No",1,0)</f>
        <v>0</v>
      </c>
      <c r="G55" s="255"/>
      <c r="H55" s="256"/>
      <c r="I55" s="256"/>
      <c r="J55" s="257"/>
      <c r="K55" s="160"/>
      <c r="L55" s="44"/>
    </row>
    <row r="56" spans="1:13" ht="15">
      <c r="A56" s="33"/>
      <c r="B56" s="65"/>
      <c r="C56" s="34"/>
      <c r="D56" s="34"/>
      <c r="E56" s="34"/>
      <c r="F56" s="34"/>
      <c r="G56" s="45"/>
      <c r="H56" s="45"/>
      <c r="I56" s="45"/>
      <c r="J56" s="45"/>
      <c r="K56" s="105"/>
      <c r="L56" s="46"/>
    </row>
    <row r="57" spans="1:13" ht="15">
      <c r="A57" s="33"/>
      <c r="B57" s="289" t="str">
        <f>IF($D$3="English",B105,IF($D$3="中文 Chinese",C105,IF($D$3="日本語 Japanese",D105,IF($D$3="한국어 Korean",E105,IF($D$3="Français",F105,IF($D$3="Português",G105,IF($D$3="Deutsch",H105,IF($D$3="Español",I105))))))))</f>
        <v>Answer the Following Questions at a Company Level</v>
      </c>
      <c r="C57" s="289"/>
      <c r="D57" s="289"/>
      <c r="E57" s="289"/>
      <c r="F57" s="289"/>
      <c r="G57" s="289"/>
      <c r="H57" s="289"/>
      <c r="I57" s="289"/>
      <c r="J57" s="289"/>
      <c r="K57" s="105"/>
      <c r="L57" s="46"/>
    </row>
    <row r="58" spans="1:13" ht="15.75">
      <c r="A58" s="153"/>
      <c r="B58" s="162" t="str">
        <f>IF($D$3="English",$J$84,IF($D$3="中文 Chinese",$K$84,IF($D$3="日本語 Japanese",$L$84,IF($D$3="한국어 Korean",$M$84,IF($D$3="Français",$N$84,IF($D$3="Português",$O$84,IF($D$3="Deutsch",$P$84,IF($D$3="Español",$Q$84))))))))</f>
        <v>Question</v>
      </c>
      <c r="C58" s="155"/>
      <c r="D58" s="156" t="str">
        <f>IF($D$3="English",$J$83,IF($D$3="中文 Chinese",$K$83,IF($D$3="日本語 Japanese",$L$83,IF($D$3="한국어 Korean",$M$83,IF($D$3="Français",$N$83,IF($D$3="Português",$O$83,IF($D$3="Deutsch",$P$83,IF($D$3="Español",$Q$83))))))))</f>
        <v>Answer</v>
      </c>
      <c r="E58" s="157"/>
      <c r="F58" s="158"/>
      <c r="G58" s="263" t="str">
        <f>IF($D$3="English",$J$90,IF($D$3="中文 Chinese",$K$90,IF($D$3="日本語 Japanese",$L$90,IF($D$3="한국어 Korean",$M$90,IF($D$3="Français",$N$90,IF($D$3="Português",$O$90,IF($D$3="Deutsch",$P$90,IF($D$3="Español",$Q$90))))))))</f>
        <v>Comments and Attachments</v>
      </c>
      <c r="H58" s="263"/>
      <c r="I58" s="263"/>
      <c r="J58" s="51"/>
      <c r="K58" s="149"/>
      <c r="L58" s="48"/>
      <c r="M58" s="32"/>
    </row>
    <row r="59" spans="1:13" ht="15.75">
      <c r="A59" s="33"/>
      <c r="B59" s="70" t="str">
        <f>IF($D$3="English",B106,IF($D$3="中文 Chinese",C106,IF($D$3="日本語 Japanese",D106,IF($D$3="한국어 Korean",E106,IF($D$3="Français",F106,IF($D$3="Português",G106,IF($D$3="Deutsch",H106,IF($D$3="Español",I106))))))))</f>
        <v>A. Do you have a policy in place that includes DRC conflict-free sourcing? (*)</v>
      </c>
      <c r="C59" s="47"/>
      <c r="D59" s="255" t="s">
        <v>324</v>
      </c>
      <c r="E59" s="257"/>
      <c r="F59" s="47"/>
      <c r="G59" s="255" t="s">
        <v>333</v>
      </c>
      <c r="H59" s="256"/>
      <c r="I59" s="256"/>
      <c r="J59" s="257"/>
      <c r="K59" s="105"/>
      <c r="L59" s="50"/>
      <c r="M59" s="32"/>
    </row>
    <row r="60" spans="1:13" ht="15.75">
      <c r="A60" s="33"/>
      <c r="B60" s="71"/>
      <c r="C60" s="37"/>
      <c r="D60" s="49"/>
      <c r="E60" s="49"/>
      <c r="F60" s="37"/>
      <c r="G60" s="264"/>
      <c r="H60" s="264"/>
      <c r="I60" s="264"/>
      <c r="J60" s="264"/>
      <c r="K60" s="105"/>
      <c r="L60" s="50"/>
      <c r="M60" s="32"/>
    </row>
    <row r="61" spans="1:13" ht="15.75" customHeight="1">
      <c r="A61" s="33"/>
      <c r="B61" s="70" t="str">
        <f>IF($D$3="English",B107,IF($D$3="中文 Chinese",C107,IF($D$3="日本語 Japanese",D107,IF($D$3="한국어 Korean",E107,IF($D$3="Français",F107,IF($D$3="Português",G107,IF($D$3="Deutsch",H107,IF($D$3="Español",I107))))))))</f>
        <v>B. Is this policy publicly available on your website? (*)</v>
      </c>
      <c r="C61" s="47"/>
      <c r="D61" s="255" t="s">
        <v>324</v>
      </c>
      <c r="E61" s="257"/>
      <c r="F61" s="47"/>
      <c r="G61" s="255" t="s">
        <v>334</v>
      </c>
      <c r="H61" s="256"/>
      <c r="I61" s="256"/>
      <c r="J61" s="257"/>
      <c r="K61" s="105"/>
      <c r="L61" s="50"/>
      <c r="M61" s="32"/>
    </row>
    <row r="62" spans="1:13" ht="15.75">
      <c r="A62" s="33"/>
      <c r="B62" s="71"/>
      <c r="C62" s="37"/>
      <c r="D62" s="49"/>
      <c r="E62" s="49"/>
      <c r="F62" s="37"/>
      <c r="G62" s="51"/>
      <c r="H62" s="51"/>
      <c r="I62" s="51"/>
      <c r="J62" s="51"/>
      <c r="K62" s="105"/>
      <c r="L62" s="50"/>
      <c r="M62" s="32"/>
    </row>
    <row r="63" spans="1:13" ht="37.9" customHeight="1">
      <c r="A63" s="33"/>
      <c r="B63" s="70" t="str">
        <f>IF($D$3="English",B108,IF($D$3="中文 Chinese",C108,IF($D$3="日本語 Japanese",D108,IF($D$3="한국어 Korean",E108,IF($D$3="Français",F108,IF($D$3="Português",G108,IF($D$3="Deutsch",H108,IF($D$3="Español",I108))))))))</f>
        <v>C. Do you require your direct suppliers to be DRC conflict-free? (*)</v>
      </c>
      <c r="C63" s="47"/>
      <c r="D63" s="255" t="s">
        <v>324</v>
      </c>
      <c r="E63" s="257"/>
      <c r="F63" s="47"/>
      <c r="G63" s="255" t="s">
        <v>335</v>
      </c>
      <c r="H63" s="256"/>
      <c r="I63" s="256"/>
      <c r="J63" s="257"/>
      <c r="K63" s="105"/>
      <c r="L63" s="50"/>
      <c r="M63" s="32"/>
    </row>
    <row r="64" spans="1:13" ht="15.75">
      <c r="A64" s="33"/>
      <c r="B64" s="71"/>
      <c r="C64" s="37"/>
      <c r="D64" s="49"/>
      <c r="E64" s="49"/>
      <c r="F64" s="37"/>
      <c r="G64" s="51"/>
      <c r="H64" s="51"/>
      <c r="I64" s="51"/>
      <c r="J64" s="51"/>
      <c r="K64" s="105"/>
      <c r="L64" s="50"/>
      <c r="M64" s="32"/>
    </row>
    <row r="65" spans="1:13" ht="60" customHeight="1">
      <c r="A65" s="33"/>
      <c r="B65" s="70" t="str">
        <f>IF($D$3="English",B109,IF($D$3="中文 Chinese",C109,IF($D$3="日本語 Japanese",D109,IF($D$3="한국어 Korean",E109,IF($D$3="Français",F109,IF($D$3="Português",G109,IF($D$3="Deutsch",H109,IF($D$3="Español",I109))))))))</f>
        <v>D. Do you require your direct suppliers to source from smelters validated as compliant to a CFS protocol using the CFS Compliant Smelter List? (*)</v>
      </c>
      <c r="C65" s="47"/>
      <c r="D65" s="255" t="s">
        <v>324</v>
      </c>
      <c r="E65" s="257"/>
      <c r="F65" s="47"/>
      <c r="G65" s="255" t="s">
        <v>335</v>
      </c>
      <c r="H65" s="256"/>
      <c r="I65" s="256"/>
      <c r="J65" s="257"/>
      <c r="K65" s="105"/>
      <c r="L65" s="50"/>
      <c r="M65" s="32"/>
    </row>
    <row r="66" spans="1:13" ht="15.75">
      <c r="A66" s="33"/>
      <c r="B66" s="72"/>
      <c r="C66" s="37"/>
      <c r="D66" s="52"/>
      <c r="E66" s="52"/>
      <c r="F66" s="37"/>
      <c r="G66" s="51"/>
      <c r="H66" s="51"/>
      <c r="I66" s="51"/>
      <c r="J66" s="51"/>
      <c r="K66" s="105"/>
      <c r="L66" s="50"/>
      <c r="M66" s="32"/>
    </row>
    <row r="67" spans="1:13" ht="41.45" customHeight="1">
      <c r="A67" s="33"/>
      <c r="B67" s="70" t="str">
        <f>IF($D$3="English",B110,IF($D$3="中文 Chinese",C110,IF($D$3="日本語 Japanese",D110,IF($D$3="한국어 Korean",E110,IF($D$3="Français",F110,IF($D$3="Português",G110,IF($D$3="Deutsch",H110,IF($D$3="Español",I110))))))))</f>
        <v>E. Have you implemented due diligence measures for conflict-free sourcing? (*)</v>
      </c>
      <c r="C67" s="47"/>
      <c r="D67" s="255" t="s">
        <v>324</v>
      </c>
      <c r="E67" s="257"/>
      <c r="F67" s="47"/>
      <c r="G67" s="255" t="s">
        <v>336</v>
      </c>
      <c r="H67" s="256"/>
      <c r="I67" s="256"/>
      <c r="J67" s="257"/>
      <c r="K67" s="105"/>
      <c r="L67" s="50"/>
      <c r="M67" s="32"/>
    </row>
    <row r="68" spans="1:13" ht="15.75">
      <c r="A68" s="33"/>
      <c r="B68" s="71"/>
      <c r="C68" s="37"/>
      <c r="D68" s="49"/>
      <c r="E68" s="49"/>
      <c r="F68" s="37"/>
      <c r="G68" s="51"/>
      <c r="H68" s="51"/>
      <c r="I68" s="51"/>
      <c r="J68" s="51"/>
      <c r="K68" s="105"/>
      <c r="L68" s="50"/>
      <c r="M68" s="32"/>
    </row>
    <row r="69" spans="1:13" ht="42" customHeight="1">
      <c r="A69" s="33"/>
      <c r="B69" s="70" t="str">
        <f>IF($D$3="English",B111,IF($D$3="中文 Chinese",C111,IF($D$3="日本語 Japanese",D111,IF($D$3="한국어 Korean",E111,IF($D$3="Français",F111,IF($D$3="Português",G111,IF($D$3="Deutsch",H111,IF($D$3="Español",I111))))))))</f>
        <v>F. Do you request your suppliers to fill out this Conflict Minerals Reporting Template? (*)</v>
      </c>
      <c r="C69" s="47"/>
      <c r="D69" s="255" t="s">
        <v>324</v>
      </c>
      <c r="E69" s="257"/>
      <c r="F69" s="47"/>
      <c r="G69" s="255" t="s">
        <v>337</v>
      </c>
      <c r="H69" s="256"/>
      <c r="I69" s="256"/>
      <c r="J69" s="257"/>
      <c r="K69" s="105"/>
      <c r="L69" s="50"/>
      <c r="M69" s="32"/>
    </row>
    <row r="70" spans="1:13" ht="15.75">
      <c r="A70" s="33"/>
      <c r="B70" s="73"/>
      <c r="C70" s="37"/>
      <c r="D70" s="49"/>
      <c r="E70" s="49"/>
      <c r="F70" s="53"/>
      <c r="G70" s="264"/>
      <c r="H70" s="264"/>
      <c r="I70" s="264"/>
      <c r="J70" s="264"/>
      <c r="K70" s="105"/>
      <c r="L70" s="50"/>
      <c r="M70" s="32"/>
    </row>
    <row r="71" spans="1:13" ht="15.75" customHeight="1">
      <c r="A71" s="33"/>
      <c r="B71" s="74" t="str">
        <f>IF($D$3="English",B112,IF($D$3="中文 Chinese",C112,IF($D$3="日本語 Japanese",D112,IF($D$3="한국어 Korean",E112,IF($D$3="Français",F112,IF($D$3="Português",G112,IF($D$3="Deutsch",H112,IF($D$3="Español",I112))))))))</f>
        <v>G. Do you request smelter names from your suppliers? (*)</v>
      </c>
      <c r="C71" s="47"/>
      <c r="D71" s="255" t="s">
        <v>324</v>
      </c>
      <c r="E71" s="257"/>
      <c r="F71" s="47"/>
      <c r="G71" s="255"/>
      <c r="H71" s="256"/>
      <c r="I71" s="256"/>
      <c r="J71" s="257"/>
      <c r="K71" s="105"/>
      <c r="L71" s="50"/>
      <c r="M71" s="32"/>
    </row>
    <row r="72" spans="1:13" ht="15.75">
      <c r="A72" s="33"/>
      <c r="B72" s="73"/>
      <c r="C72" s="37"/>
      <c r="D72" s="49"/>
      <c r="E72" s="49"/>
      <c r="F72" s="53"/>
      <c r="G72" s="264"/>
      <c r="H72" s="264"/>
      <c r="I72" s="264"/>
      <c r="J72" s="264"/>
      <c r="K72" s="105"/>
      <c r="L72" s="50"/>
      <c r="M72" s="32"/>
    </row>
    <row r="73" spans="1:13" ht="43.9" customHeight="1">
      <c r="A73" s="33"/>
      <c r="B73" s="70" t="str">
        <f>IF($D$3="English",B113,IF($D$3="中文 Chinese",C113,IF($D$3="日本語 Japanese",D113,IF($D$3="한국어 Korean",E113,IF($D$3="Français",F113,IF($D$3="Português",G113,IF($D$3="Deutsch",H113,IF($D$3="Español",I113))))))))</f>
        <v>H. Do you verify due diligence information received from your suppliers? (*)</v>
      </c>
      <c r="C73" s="47"/>
      <c r="D73" s="255" t="s">
        <v>324</v>
      </c>
      <c r="E73" s="257"/>
      <c r="F73" s="47"/>
      <c r="G73" s="255" t="s">
        <v>338</v>
      </c>
      <c r="H73" s="256"/>
      <c r="I73" s="256"/>
      <c r="J73" s="257"/>
      <c r="K73" s="105"/>
      <c r="L73" s="50"/>
      <c r="M73" s="32"/>
    </row>
    <row r="74" spans="1:13" ht="15.75">
      <c r="A74" s="33"/>
      <c r="B74" s="71"/>
      <c r="C74" s="37"/>
      <c r="D74" s="49"/>
      <c r="E74" s="49"/>
      <c r="F74" s="53"/>
      <c r="G74" s="51"/>
      <c r="H74" s="51"/>
      <c r="I74" s="51"/>
      <c r="J74" s="51"/>
      <c r="K74" s="105"/>
      <c r="L74" s="50"/>
      <c r="M74" s="32"/>
    </row>
    <row r="75" spans="1:13" ht="16.5" customHeight="1">
      <c r="A75" s="33"/>
      <c r="B75" s="74" t="str">
        <f>IF($D$3="English",B114,IF($D$3="中文 Chinese",C114,IF($D$3="日本語 Japanese",D114,IF($D$3="한국어 Korean",E114,IF($D$3="Français",F114,IF($D$3="Português",G114,IF($D$3="Deutsch",H114,IF($D$3="Español",I114))))))))</f>
        <v>I. Does your verification process include corrective action management? (*)</v>
      </c>
      <c r="C75" s="47"/>
      <c r="D75" s="255" t="s">
        <v>324</v>
      </c>
      <c r="E75" s="257"/>
      <c r="F75" s="47"/>
      <c r="G75" s="255" t="s">
        <v>339</v>
      </c>
      <c r="H75" s="256"/>
      <c r="I75" s="256"/>
      <c r="J75" s="257"/>
      <c r="K75" s="105"/>
      <c r="L75" s="50"/>
      <c r="M75" s="32"/>
    </row>
    <row r="76" spans="1:13" ht="15">
      <c r="A76" s="33"/>
      <c r="B76" s="75"/>
      <c r="C76" s="34"/>
      <c r="D76" s="55"/>
      <c r="E76" s="55"/>
      <c r="F76" s="34"/>
      <c r="G76" s="54"/>
      <c r="H76" s="54"/>
      <c r="I76" s="54"/>
      <c r="J76" s="54"/>
      <c r="K76" s="105"/>
      <c r="L76" s="50"/>
      <c r="M76" s="32"/>
    </row>
    <row r="77" spans="1:13" ht="37.15" customHeight="1">
      <c r="A77" s="33"/>
      <c r="B77" s="74" t="str">
        <f>IF($D$3="English",B115,IF($D$3="中文 Chinese",C115,IF($D$3="日本語 Japanese",D115,IF($D$3="한국어 Korean",E115,IF($D$3="Français",F115,IF($D$3="Português",G115,IF($D$3="Deutsch",H115,IF($D$3="Español",I115))))))))</f>
        <v>J. Are you subject to the SEC Conflict Minerals disclosure requirement rule? (*)</v>
      </c>
      <c r="C77" s="47"/>
      <c r="D77" s="255" t="s">
        <v>324</v>
      </c>
      <c r="E77" s="257"/>
      <c r="F77" s="47"/>
      <c r="G77" s="255" t="s">
        <v>340</v>
      </c>
      <c r="H77" s="256"/>
      <c r="I77" s="256"/>
      <c r="J77" s="257"/>
      <c r="K77" s="105"/>
    </row>
    <row r="78" spans="1:13">
      <c r="A78" s="33"/>
      <c r="B78" s="260" t="str">
        <f>IF(D8="","","Click here to check required fields completion")</f>
        <v>Click here to check required fields completion</v>
      </c>
      <c r="C78" s="260"/>
      <c r="D78" s="260"/>
      <c r="E78" s="260"/>
      <c r="F78" s="260"/>
      <c r="G78" s="260"/>
      <c r="H78" s="260"/>
      <c r="I78" s="260"/>
      <c r="J78" s="260"/>
      <c r="K78" s="105"/>
    </row>
    <row r="79" spans="1:13" ht="13.5" thickBot="1">
      <c r="A79" s="258" t="str">
        <f>IF($D$3="English",B116,IF($D$3="中文 Chinese",C116,IF($D$3="日本語 Japanese",D116,IF($D$3="한국어 Korean",E116,IF($D$3="Français",F116,IF($D$3="Português",G116,IF($D$3="Deutsch",H116,IF($D$3="Español",I116))))))))</f>
        <v>© 2011 Electronic Industry Citizenship Coalition, Incorporated and Global e-Sustainability Initiative. All rights reserved.</v>
      </c>
      <c r="B79" s="259"/>
      <c r="C79" s="259"/>
      <c r="D79" s="259"/>
      <c r="E79" s="259"/>
      <c r="F79" s="259"/>
      <c r="G79" s="259"/>
      <c r="H79" s="259"/>
      <c r="I79" s="259"/>
      <c r="J79" s="259"/>
      <c r="K79" s="106"/>
    </row>
    <row r="80" spans="1:13" ht="13.5" thickTop="1">
      <c r="G80" s="182" t="s">
        <v>570</v>
      </c>
    </row>
    <row r="81" spans="2:18" ht="12.75" hidden="1" customHeight="1">
      <c r="B81" s="95" t="s">
        <v>1853</v>
      </c>
      <c r="C81" s="95" t="s">
        <v>1854</v>
      </c>
      <c r="D81" s="95" t="s">
        <v>1855</v>
      </c>
      <c r="E81" s="95" t="s">
        <v>1856</v>
      </c>
      <c r="F81" s="31" t="s">
        <v>1355</v>
      </c>
      <c r="G81" s="31" t="s">
        <v>1356</v>
      </c>
      <c r="H81" s="31" t="s">
        <v>1357</v>
      </c>
      <c r="I81" s="31" t="s">
        <v>1116</v>
      </c>
      <c r="J81" s="261" t="s">
        <v>1861</v>
      </c>
      <c r="K81" s="262"/>
      <c r="L81" s="262"/>
      <c r="M81" s="262"/>
      <c r="O81" s="27"/>
      <c r="R81" s="76"/>
    </row>
    <row r="82" spans="2:18" hidden="1">
      <c r="B82" s="163" t="s">
        <v>1776</v>
      </c>
      <c r="C82" s="163" t="s">
        <v>1860</v>
      </c>
      <c r="D82" s="163" t="s">
        <v>1913</v>
      </c>
      <c r="E82" s="163" t="s">
        <v>8</v>
      </c>
      <c r="F82" s="163" t="s">
        <v>1554</v>
      </c>
      <c r="G82" s="163" t="s">
        <v>1555</v>
      </c>
      <c r="H82" s="163" t="s">
        <v>955</v>
      </c>
      <c r="I82" s="163" t="s">
        <v>1197</v>
      </c>
      <c r="J82" s="96" t="s">
        <v>1853</v>
      </c>
      <c r="K82" s="96" t="s">
        <v>1854</v>
      </c>
      <c r="L82" s="96" t="s">
        <v>1855</v>
      </c>
      <c r="M82" s="96" t="s">
        <v>1856</v>
      </c>
      <c r="N82" s="31" t="s">
        <v>1355</v>
      </c>
      <c r="O82" s="31" t="s">
        <v>1356</v>
      </c>
      <c r="P82" s="31" t="s">
        <v>1357</v>
      </c>
      <c r="Q82" s="31" t="s">
        <v>1116</v>
      </c>
      <c r="R82" s="76"/>
    </row>
    <row r="83" spans="2:18" hidden="1">
      <c r="B83" s="59"/>
      <c r="C83" s="59"/>
      <c r="D83" s="59"/>
      <c r="E83" s="59"/>
      <c r="F83" s="59"/>
      <c r="G83" s="59"/>
      <c r="H83" s="59"/>
      <c r="I83" s="59"/>
      <c r="J83" s="167" t="s">
        <v>1766</v>
      </c>
      <c r="K83" s="167" t="s">
        <v>1862</v>
      </c>
      <c r="L83" s="167" t="s">
        <v>1915</v>
      </c>
      <c r="M83" s="167" t="s">
        <v>1895</v>
      </c>
      <c r="N83" s="167" t="s">
        <v>1234</v>
      </c>
      <c r="O83" s="167" t="s">
        <v>1235</v>
      </c>
      <c r="P83" s="167" t="s">
        <v>1236</v>
      </c>
      <c r="Q83" s="167" t="s">
        <v>1237</v>
      </c>
      <c r="R83" s="76"/>
    </row>
    <row r="84" spans="2:18" hidden="1">
      <c r="B84" s="163" t="s">
        <v>1780</v>
      </c>
      <c r="C84" s="163" t="s">
        <v>1556</v>
      </c>
      <c r="D84" s="163" t="s">
        <v>1914</v>
      </c>
      <c r="E84" s="163" t="s">
        <v>1888</v>
      </c>
      <c r="F84" s="163" t="s">
        <v>1557</v>
      </c>
      <c r="G84" s="163" t="s">
        <v>1558</v>
      </c>
      <c r="H84" s="163" t="s">
        <v>956</v>
      </c>
      <c r="I84" s="163" t="s">
        <v>1198</v>
      </c>
      <c r="J84" s="59" t="s">
        <v>2625</v>
      </c>
      <c r="K84" s="59" t="s">
        <v>1259</v>
      </c>
      <c r="L84" s="59" t="s">
        <v>1260</v>
      </c>
      <c r="M84" s="59" t="s">
        <v>1261</v>
      </c>
      <c r="N84" s="27" t="s">
        <v>2625</v>
      </c>
      <c r="O84" s="27" t="s">
        <v>1262</v>
      </c>
      <c r="P84" s="27" t="s">
        <v>1263</v>
      </c>
      <c r="Q84" s="27" t="s">
        <v>1258</v>
      </c>
      <c r="R84" s="76"/>
    </row>
    <row r="85" spans="2:18" hidden="1">
      <c r="B85" s="59"/>
      <c r="C85" s="59"/>
      <c r="D85" s="59"/>
      <c r="E85" s="59"/>
      <c r="F85" s="59"/>
      <c r="G85" s="59"/>
      <c r="H85" s="59"/>
      <c r="I85" s="59"/>
      <c r="J85" s="168" t="s">
        <v>1765</v>
      </c>
      <c r="K85" s="168" t="s">
        <v>1863</v>
      </c>
      <c r="L85" s="168" t="s">
        <v>1916</v>
      </c>
      <c r="M85" s="168" t="s">
        <v>1238</v>
      </c>
      <c r="N85" s="168" t="s">
        <v>1239</v>
      </c>
      <c r="O85" s="168" t="s">
        <v>1240</v>
      </c>
      <c r="P85" s="168" t="s">
        <v>1241</v>
      </c>
      <c r="Q85" s="168" t="s">
        <v>1242</v>
      </c>
      <c r="R85" s="76"/>
    </row>
    <row r="86" spans="2:18" hidden="1">
      <c r="B86" s="163" t="s">
        <v>1781</v>
      </c>
      <c r="C86" s="163" t="s">
        <v>1857</v>
      </c>
      <c r="D86" s="163" t="s">
        <v>1918</v>
      </c>
      <c r="E86" s="163" t="s">
        <v>1889</v>
      </c>
      <c r="F86" s="163" t="s">
        <v>1559</v>
      </c>
      <c r="G86" s="163" t="s">
        <v>1029</v>
      </c>
      <c r="H86" s="163" t="s">
        <v>957</v>
      </c>
      <c r="I86" s="82" t="s">
        <v>791</v>
      </c>
      <c r="J86" s="82" t="s">
        <v>1770</v>
      </c>
      <c r="K86" s="163" t="s">
        <v>1864</v>
      </c>
      <c r="L86" s="163" t="s">
        <v>1929</v>
      </c>
      <c r="M86" s="163" t="s">
        <v>1896</v>
      </c>
      <c r="N86" s="163" t="s">
        <v>1247</v>
      </c>
      <c r="O86" s="163" t="s">
        <v>1248</v>
      </c>
      <c r="P86" s="82" t="s">
        <v>825</v>
      </c>
      <c r="Q86" s="163" t="s">
        <v>1249</v>
      </c>
      <c r="R86" s="76"/>
    </row>
    <row r="87" spans="2:18" hidden="1">
      <c r="B87" s="59" t="s">
        <v>2623</v>
      </c>
      <c r="C87" s="59" t="s">
        <v>1224</v>
      </c>
      <c r="D87" s="59" t="s">
        <v>1225</v>
      </c>
      <c r="E87" s="59" t="s">
        <v>1226</v>
      </c>
      <c r="F87" s="83" t="s">
        <v>807</v>
      </c>
      <c r="G87" s="59" t="s">
        <v>1223</v>
      </c>
      <c r="H87" s="83" t="s">
        <v>958</v>
      </c>
      <c r="I87" s="59" t="s">
        <v>1227</v>
      </c>
      <c r="J87" s="163" t="s">
        <v>1771</v>
      </c>
      <c r="K87" s="163" t="s">
        <v>1865</v>
      </c>
      <c r="L87" s="163" t="s">
        <v>1930</v>
      </c>
      <c r="M87" s="163" t="s">
        <v>1897</v>
      </c>
      <c r="N87" s="163" t="s">
        <v>1250</v>
      </c>
      <c r="O87" s="163" t="s">
        <v>1251</v>
      </c>
      <c r="P87" s="82" t="s">
        <v>826</v>
      </c>
      <c r="Q87" s="163" t="s">
        <v>1252</v>
      </c>
      <c r="R87" s="76"/>
    </row>
    <row r="88" spans="2:18" hidden="1">
      <c r="B88" s="163" t="s">
        <v>1767</v>
      </c>
      <c r="C88" s="163" t="s">
        <v>1030</v>
      </c>
      <c r="D88" s="163" t="s">
        <v>1919</v>
      </c>
      <c r="E88" s="163" t="s">
        <v>1890</v>
      </c>
      <c r="F88" s="163" t="s">
        <v>1031</v>
      </c>
      <c r="G88" s="163" t="s">
        <v>1032</v>
      </c>
      <c r="H88" s="163" t="s">
        <v>1033</v>
      </c>
      <c r="I88" s="163" t="s">
        <v>1199</v>
      </c>
      <c r="J88" s="163" t="s">
        <v>1772</v>
      </c>
      <c r="K88" s="163" t="s">
        <v>1866</v>
      </c>
      <c r="L88" s="163" t="s">
        <v>1931</v>
      </c>
      <c r="M88" s="163" t="s">
        <v>1898</v>
      </c>
      <c r="N88" s="163" t="s">
        <v>1253</v>
      </c>
      <c r="O88" s="163" t="s">
        <v>1254</v>
      </c>
      <c r="P88" s="82" t="s">
        <v>1772</v>
      </c>
      <c r="Q88" s="163" t="s">
        <v>1255</v>
      </c>
      <c r="R88" s="76"/>
    </row>
    <row r="89" spans="2:18" hidden="1">
      <c r="B89" s="163" t="s">
        <v>2443</v>
      </c>
      <c r="C89" s="163" t="s">
        <v>1034</v>
      </c>
      <c r="D89" s="163" t="s">
        <v>1035</v>
      </c>
      <c r="E89" s="82" t="s">
        <v>473</v>
      </c>
      <c r="F89" s="163" t="s">
        <v>1036</v>
      </c>
      <c r="G89" s="163" t="s">
        <v>1037</v>
      </c>
      <c r="H89" s="163" t="s">
        <v>1038</v>
      </c>
      <c r="I89" s="163" t="s">
        <v>1200</v>
      </c>
      <c r="J89" s="163" t="s">
        <v>1773</v>
      </c>
      <c r="K89" s="163" t="s">
        <v>1867</v>
      </c>
      <c r="L89" s="163" t="s">
        <v>1932</v>
      </c>
      <c r="M89" s="163" t="s">
        <v>1899</v>
      </c>
      <c r="N89" s="82" t="s">
        <v>472</v>
      </c>
      <c r="O89" s="163" t="s">
        <v>1256</v>
      </c>
      <c r="P89" s="82" t="s">
        <v>827</v>
      </c>
      <c r="Q89" s="163" t="s">
        <v>1257</v>
      </c>
      <c r="R89" s="76"/>
    </row>
    <row r="90" spans="2:18" hidden="1">
      <c r="B90" s="163" t="str">
        <f>IF(N12=0,"Description of Scope:",IF(N12=1,"Description of Scope: (*)",IF(N12=2,"Go to Product List tab to enter products this declaration applies to")))</f>
        <v>Description of Scope:</v>
      </c>
      <c r="C90" s="163" t="str">
        <f>IF(N12=0,"范围描述：",IF(N12=1,"范围描述 (*):",IF(N12=2,"转到产品目录“选项卡进入本声明适用于产品")))</f>
        <v>范围描述：</v>
      </c>
      <c r="D90" s="163" t="str">
        <f>IF(N12=0,"範囲の説明：",IF(N12=1,"範囲の説明 (*):",IF(N12=2,"この宣言に適用される製品を入力するには製品一覧]タブに移動します")))</f>
        <v>範囲の説明：</v>
      </c>
      <c r="E90" s="163" t="str">
        <f>IF(N12=0,"선언범위 설명란:",IF(N12=1,"선언범위 설명란 (*):",IF(N12=2,"이 선언은 적용 제품를 입력하도록 제품리스트 탭으로 이동")))</f>
        <v>선언범위 설명란:</v>
      </c>
      <c r="F90" s="163" t="str">
        <f>IF(N12=0,"Description du périmètre:",IF(N12=1,"Description du périmètre (*):",IF(N12=2,"Allez à l'onglet Liste des produits d'entrer les produits de cette déclaration est valable pour")))</f>
        <v>Description du périmètre:</v>
      </c>
      <c r="G90" s="163" t="str">
        <f>IF(N12=0,"Descrição dos Escopo:",IF(N12=1,"Descrição dos Escopo(*):",IF(N12=2,"Vá para a guia Lista de Produtos para entrar produtos desta declaração se aplica")))</f>
        <v>Descrição dos Escopo:</v>
      </c>
      <c r="H90" s="163" t="str">
        <f>IF(N12=0,"Beschreibung des Erklärungsbereiches:",IF(N12=1,"Beschreibung des Erklärungsbereiches (*):",IF(N12=2,"Wechseln Sie zum Reiter „Product List“ und geben dort die Produkte ein, für die diese Erklärung gilt.")))</f>
        <v>Beschreibung des Erklärungsbereiches:</v>
      </c>
      <c r="I90" s="163" t="str">
        <f>IF(N12=0,"Descripcion del alcance:",IF(N12=1,"Descripcion del alcance (*):",IF(N12=2,"Ir a la ficha del producto para entrar en la lista de los productos de esta declaración se aplica a")))</f>
        <v>Descripcion del alcance:</v>
      </c>
      <c r="J90" s="163" t="s">
        <v>1763</v>
      </c>
      <c r="K90" s="163" t="s">
        <v>1868</v>
      </c>
      <c r="L90" s="163" t="s">
        <v>1917</v>
      </c>
      <c r="M90" s="163" t="s">
        <v>1243</v>
      </c>
      <c r="N90" s="163" t="s">
        <v>1244</v>
      </c>
      <c r="O90" s="163" t="s">
        <v>1245</v>
      </c>
      <c r="P90" s="163" t="s">
        <v>979</v>
      </c>
      <c r="Q90" s="163" t="s">
        <v>1246</v>
      </c>
      <c r="R90" s="76"/>
    </row>
    <row r="91" spans="2:18" hidden="1">
      <c r="B91" s="163" t="s">
        <v>1768</v>
      </c>
      <c r="C91" s="163" t="s">
        <v>1039</v>
      </c>
      <c r="D91" s="163" t="s">
        <v>1920</v>
      </c>
      <c r="E91" s="163" t="s">
        <v>1891</v>
      </c>
      <c r="F91" s="82" t="s">
        <v>476</v>
      </c>
      <c r="G91" s="163" t="s">
        <v>1040</v>
      </c>
      <c r="H91" s="163" t="s">
        <v>959</v>
      </c>
      <c r="I91" s="163" t="s">
        <v>1201</v>
      </c>
      <c r="J91" s="59"/>
      <c r="K91" s="59"/>
      <c r="L91" s="59"/>
      <c r="M91" s="59"/>
      <c r="O91" s="27"/>
      <c r="R91" s="76"/>
    </row>
    <row r="92" spans="2:18" hidden="1">
      <c r="B92" s="163" t="s">
        <v>1764</v>
      </c>
      <c r="C92" s="163" t="s">
        <v>1041</v>
      </c>
      <c r="D92" s="163" t="s">
        <v>1921</v>
      </c>
      <c r="E92" s="163" t="s">
        <v>1892</v>
      </c>
      <c r="F92" s="82" t="s">
        <v>1042</v>
      </c>
      <c r="G92" s="82" t="s">
        <v>482</v>
      </c>
      <c r="H92" s="163" t="s">
        <v>1042</v>
      </c>
      <c r="I92" s="163" t="s">
        <v>1202</v>
      </c>
      <c r="J92" s="59"/>
      <c r="K92" s="59"/>
      <c r="L92" s="59"/>
      <c r="M92" s="59"/>
      <c r="O92" s="27"/>
      <c r="R92" s="76"/>
    </row>
    <row r="93" spans="2:18" hidden="1">
      <c r="B93" s="163" t="s">
        <v>2455</v>
      </c>
      <c r="C93" s="163" t="s">
        <v>1043</v>
      </c>
      <c r="D93" s="163" t="s">
        <v>1044</v>
      </c>
      <c r="E93" s="163" t="s">
        <v>1045</v>
      </c>
      <c r="F93" s="82" t="s">
        <v>477</v>
      </c>
      <c r="G93" s="163" t="s">
        <v>1046</v>
      </c>
      <c r="H93" s="163" t="s">
        <v>1047</v>
      </c>
      <c r="I93" s="163" t="s">
        <v>1203</v>
      </c>
      <c r="J93" s="59"/>
      <c r="K93" s="59"/>
      <c r="L93" s="59"/>
      <c r="M93" s="59"/>
      <c r="O93" s="27"/>
      <c r="R93" s="76"/>
    </row>
    <row r="94" spans="2:18" hidden="1">
      <c r="B94" s="163" t="s">
        <v>1858</v>
      </c>
      <c r="C94" s="163" t="s">
        <v>1048</v>
      </c>
      <c r="D94" s="163" t="s">
        <v>1922</v>
      </c>
      <c r="E94" s="82" t="s">
        <v>474</v>
      </c>
      <c r="F94" s="82" t="s">
        <v>478</v>
      </c>
      <c r="G94" s="163" t="s">
        <v>1049</v>
      </c>
      <c r="H94" s="163" t="s">
        <v>1050</v>
      </c>
      <c r="I94" s="163" t="s">
        <v>1204</v>
      </c>
      <c r="J94" s="59"/>
      <c r="K94" s="59"/>
      <c r="L94" s="59"/>
      <c r="M94" s="59"/>
      <c r="O94" s="27"/>
      <c r="R94" s="76"/>
    </row>
    <row r="95" spans="2:18" hidden="1">
      <c r="B95" s="163" t="s">
        <v>1769</v>
      </c>
      <c r="C95" s="163" t="s">
        <v>1051</v>
      </c>
      <c r="D95" s="163" t="s">
        <v>1923</v>
      </c>
      <c r="E95" s="82" t="s">
        <v>1893</v>
      </c>
      <c r="F95" s="82" t="s">
        <v>479</v>
      </c>
      <c r="G95" s="163" t="s">
        <v>1052</v>
      </c>
      <c r="H95" s="163" t="s">
        <v>1053</v>
      </c>
      <c r="I95" s="163" t="s">
        <v>1205</v>
      </c>
      <c r="J95" s="59"/>
      <c r="K95" s="59"/>
      <c r="L95" s="59"/>
      <c r="M95" s="59"/>
      <c r="O95" s="27"/>
      <c r="R95" s="76"/>
    </row>
    <row r="96" spans="2:18" hidden="1">
      <c r="B96" s="163" t="s">
        <v>1822</v>
      </c>
      <c r="C96" s="163" t="s">
        <v>1054</v>
      </c>
      <c r="D96" s="163" t="s">
        <v>1924</v>
      </c>
      <c r="E96" s="82" t="s">
        <v>1894</v>
      </c>
      <c r="F96" s="82" t="s">
        <v>480</v>
      </c>
      <c r="G96" s="163" t="s">
        <v>1055</v>
      </c>
      <c r="H96" s="163" t="s">
        <v>1056</v>
      </c>
      <c r="I96" s="163" t="s">
        <v>1206</v>
      </c>
      <c r="J96" s="59"/>
      <c r="K96" s="59"/>
      <c r="L96" s="59"/>
      <c r="M96" s="59"/>
      <c r="O96" s="27"/>
      <c r="R96" s="76"/>
    </row>
    <row r="97" spans="2:18" hidden="1">
      <c r="B97" s="82" t="s">
        <v>1859</v>
      </c>
      <c r="C97" s="82" t="s">
        <v>1057</v>
      </c>
      <c r="D97" s="163" t="s">
        <v>1925</v>
      </c>
      <c r="E97" s="82" t="s">
        <v>475</v>
      </c>
      <c r="F97" s="82" t="s">
        <v>481</v>
      </c>
      <c r="G97" s="163" t="s">
        <v>1058</v>
      </c>
      <c r="H97" s="163" t="s">
        <v>960</v>
      </c>
      <c r="I97" s="163" t="s">
        <v>1207</v>
      </c>
      <c r="J97" s="59"/>
      <c r="K97" s="59"/>
      <c r="L97" s="59"/>
      <c r="M97" s="59"/>
      <c r="O97" s="27"/>
      <c r="R97" s="76"/>
    </row>
    <row r="98" spans="2:18" hidden="1">
      <c r="B98" s="163" t="s">
        <v>2539</v>
      </c>
      <c r="C98" s="163" t="s">
        <v>1059</v>
      </c>
      <c r="D98" s="163" t="s">
        <v>1060</v>
      </c>
      <c r="E98" s="163" t="s">
        <v>1061</v>
      </c>
      <c r="F98" s="163" t="s">
        <v>1062</v>
      </c>
      <c r="G98" s="163" t="s">
        <v>1063</v>
      </c>
      <c r="H98" s="163" t="s">
        <v>961</v>
      </c>
      <c r="I98" s="163" t="s">
        <v>1208</v>
      </c>
      <c r="J98" s="59"/>
      <c r="K98" s="59"/>
      <c r="L98" s="59"/>
      <c r="M98" s="59"/>
      <c r="O98" s="27"/>
      <c r="R98" s="76"/>
    </row>
    <row r="99" spans="2:18" hidden="1">
      <c r="B99" s="163" t="s">
        <v>1850</v>
      </c>
      <c r="C99" s="163" t="s">
        <v>931</v>
      </c>
      <c r="D99" s="163" t="s">
        <v>1926</v>
      </c>
      <c r="E99" s="163" t="s">
        <v>1939</v>
      </c>
      <c r="F99" s="163" t="s">
        <v>1064</v>
      </c>
      <c r="G99" s="163" t="s">
        <v>1065</v>
      </c>
      <c r="H99" s="163" t="s">
        <v>962</v>
      </c>
      <c r="I99" s="163" t="s">
        <v>1209</v>
      </c>
      <c r="J99" s="59"/>
      <c r="K99" s="59"/>
      <c r="L99" s="59"/>
      <c r="M99" s="59"/>
      <c r="O99" s="27"/>
      <c r="R99" s="76"/>
    </row>
    <row r="100" spans="2:18" hidden="1">
      <c r="B100" s="163" t="s">
        <v>2535</v>
      </c>
      <c r="C100" s="163" t="s">
        <v>1066</v>
      </c>
      <c r="D100" s="163" t="s">
        <v>2536</v>
      </c>
      <c r="E100" s="163" t="s">
        <v>1067</v>
      </c>
      <c r="F100" s="163" t="s">
        <v>934</v>
      </c>
      <c r="G100" s="163" t="s">
        <v>1068</v>
      </c>
      <c r="H100" s="163" t="s">
        <v>963</v>
      </c>
      <c r="I100" s="163" t="s">
        <v>1210</v>
      </c>
      <c r="J100" s="59"/>
      <c r="K100" s="59"/>
      <c r="L100" s="59"/>
      <c r="M100" s="59"/>
      <c r="O100" s="27"/>
      <c r="R100" s="76"/>
    </row>
    <row r="101" spans="2:18" hidden="1">
      <c r="B101" s="163" t="s">
        <v>2537</v>
      </c>
      <c r="C101" s="163" t="s">
        <v>1069</v>
      </c>
      <c r="D101" s="163" t="s">
        <v>2538</v>
      </c>
      <c r="E101" s="163" t="s">
        <v>1070</v>
      </c>
      <c r="F101" s="163" t="s">
        <v>933</v>
      </c>
      <c r="G101" s="163" t="s">
        <v>1071</v>
      </c>
      <c r="H101" s="163" t="s">
        <v>964</v>
      </c>
      <c r="I101" s="163" t="s">
        <v>1211</v>
      </c>
      <c r="J101" s="59"/>
      <c r="K101" s="59"/>
      <c r="L101" s="59"/>
      <c r="M101" s="59"/>
      <c r="O101" s="27"/>
      <c r="R101" s="76"/>
    </row>
    <row r="102" spans="2:18" hidden="1">
      <c r="B102" s="163" t="s">
        <v>2540</v>
      </c>
      <c r="C102" s="163" t="s">
        <v>1072</v>
      </c>
      <c r="D102" s="163" t="s">
        <v>1073</v>
      </c>
      <c r="E102" s="163" t="s">
        <v>9</v>
      </c>
      <c r="F102" s="163" t="s">
        <v>1074</v>
      </c>
      <c r="G102" s="163" t="s">
        <v>1075</v>
      </c>
      <c r="H102" s="163" t="s">
        <v>965</v>
      </c>
      <c r="I102" s="163" t="s">
        <v>1212</v>
      </c>
      <c r="J102" s="59"/>
      <c r="K102" s="59"/>
      <c r="L102" s="59"/>
      <c r="M102" s="59"/>
      <c r="O102" s="27"/>
      <c r="R102" s="76"/>
    </row>
    <row r="103" spans="2:18" hidden="1">
      <c r="B103" s="163" t="s">
        <v>2541</v>
      </c>
      <c r="C103" s="163" t="s">
        <v>940</v>
      </c>
      <c r="D103" s="163" t="s">
        <v>1076</v>
      </c>
      <c r="E103" s="163" t="s">
        <v>1077</v>
      </c>
      <c r="F103" s="163" t="s">
        <v>1078</v>
      </c>
      <c r="G103" s="163" t="s">
        <v>1079</v>
      </c>
      <c r="H103" s="163" t="s">
        <v>966</v>
      </c>
      <c r="I103" s="163" t="s">
        <v>1213</v>
      </c>
      <c r="J103" s="59"/>
      <c r="K103" s="59"/>
      <c r="L103" s="59"/>
      <c r="M103" s="59"/>
      <c r="O103" s="27"/>
      <c r="R103" s="76"/>
    </row>
    <row r="104" spans="2:18" hidden="1">
      <c r="B104" s="163" t="s">
        <v>2585</v>
      </c>
      <c r="C104" s="163" t="s">
        <v>1080</v>
      </c>
      <c r="D104" s="163" t="s">
        <v>932</v>
      </c>
      <c r="E104" s="163" t="s">
        <v>10</v>
      </c>
      <c r="F104" s="163" t="s">
        <v>1081</v>
      </c>
      <c r="G104" s="163" t="s">
        <v>1082</v>
      </c>
      <c r="H104" s="163" t="s">
        <v>967</v>
      </c>
      <c r="I104" s="163" t="s">
        <v>1214</v>
      </c>
      <c r="J104" s="59"/>
      <c r="K104" s="59"/>
      <c r="L104" s="59"/>
      <c r="M104" s="59"/>
      <c r="O104" s="27"/>
      <c r="R104" s="76"/>
    </row>
    <row r="105" spans="2:18" hidden="1">
      <c r="B105" s="163" t="s">
        <v>2624</v>
      </c>
      <c r="C105" s="163" t="s">
        <v>1228</v>
      </c>
      <c r="D105" s="163" t="s">
        <v>1229</v>
      </c>
      <c r="E105" s="163" t="s">
        <v>1230</v>
      </c>
      <c r="F105" s="163" t="s">
        <v>1231</v>
      </c>
      <c r="G105" s="163" t="s">
        <v>1232</v>
      </c>
      <c r="H105" s="163" t="s">
        <v>968</v>
      </c>
      <c r="I105" s="163" t="s">
        <v>1233</v>
      </c>
      <c r="J105" s="59"/>
      <c r="K105" s="59"/>
      <c r="L105" s="59"/>
      <c r="M105" s="59"/>
      <c r="O105" s="27"/>
      <c r="R105" s="76"/>
    </row>
    <row r="106" spans="2:18" hidden="1">
      <c r="B106" s="83" t="s">
        <v>1777</v>
      </c>
      <c r="C106" s="83" t="s">
        <v>828</v>
      </c>
      <c r="D106" s="83" t="s">
        <v>1954</v>
      </c>
      <c r="E106" s="83" t="s">
        <v>1083</v>
      </c>
      <c r="F106" s="83" t="s">
        <v>1084</v>
      </c>
      <c r="G106" s="83" t="s">
        <v>1085</v>
      </c>
      <c r="H106" s="83" t="s">
        <v>969</v>
      </c>
      <c r="I106" s="83" t="s">
        <v>1215</v>
      </c>
      <c r="J106" s="59"/>
      <c r="K106" s="59"/>
      <c r="L106" s="59"/>
      <c r="M106" s="59"/>
      <c r="O106" s="27"/>
      <c r="R106" s="76"/>
    </row>
    <row r="107" spans="2:18" hidden="1">
      <c r="B107" s="83" t="s">
        <v>1778</v>
      </c>
      <c r="C107" s="83" t="s">
        <v>829</v>
      </c>
      <c r="D107" s="83" t="s">
        <v>1927</v>
      </c>
      <c r="E107" s="83" t="s">
        <v>1086</v>
      </c>
      <c r="F107" s="83" t="s">
        <v>1087</v>
      </c>
      <c r="G107" s="83" t="s">
        <v>1088</v>
      </c>
      <c r="H107" s="83" t="s">
        <v>970</v>
      </c>
      <c r="I107" s="83" t="s">
        <v>1216</v>
      </c>
      <c r="J107" s="59"/>
      <c r="K107" s="59"/>
      <c r="L107" s="59"/>
      <c r="M107" s="59"/>
      <c r="O107" s="27"/>
      <c r="R107" s="76"/>
    </row>
    <row r="108" spans="2:18" hidden="1">
      <c r="B108" s="83" t="s">
        <v>1779</v>
      </c>
      <c r="C108" s="83" t="s">
        <v>830</v>
      </c>
      <c r="D108" s="83" t="s">
        <v>1928</v>
      </c>
      <c r="E108" s="83" t="s">
        <v>1903</v>
      </c>
      <c r="F108" s="83" t="s">
        <v>1089</v>
      </c>
      <c r="G108" s="83" t="s">
        <v>1090</v>
      </c>
      <c r="H108" s="83" t="s">
        <v>971</v>
      </c>
      <c r="I108" s="83" t="s">
        <v>792</v>
      </c>
      <c r="J108" s="59"/>
      <c r="K108" s="59"/>
      <c r="L108" s="59"/>
      <c r="M108" s="59"/>
      <c r="O108" s="27"/>
      <c r="R108" s="76"/>
    </row>
    <row r="109" spans="2:18" hidden="1">
      <c r="B109" s="83" t="s">
        <v>2542</v>
      </c>
      <c r="C109" s="83" t="s">
        <v>831</v>
      </c>
      <c r="D109" s="83" t="s">
        <v>838</v>
      </c>
      <c r="E109" s="83" t="s">
        <v>11</v>
      </c>
      <c r="F109" s="83" t="s">
        <v>1091</v>
      </c>
      <c r="G109" s="83" t="s">
        <v>839</v>
      </c>
      <c r="H109" s="83" t="s">
        <v>972</v>
      </c>
      <c r="I109" s="83" t="s">
        <v>793</v>
      </c>
      <c r="J109" s="59"/>
      <c r="K109" s="59"/>
      <c r="L109" s="59"/>
      <c r="M109" s="59"/>
      <c r="O109" s="27"/>
      <c r="R109" s="76"/>
    </row>
    <row r="110" spans="2:18" hidden="1">
      <c r="B110" s="83" t="s">
        <v>2543</v>
      </c>
      <c r="C110" s="83" t="s">
        <v>832</v>
      </c>
      <c r="D110" s="83" t="s">
        <v>1092</v>
      </c>
      <c r="E110" s="83" t="s">
        <v>12</v>
      </c>
      <c r="F110" s="83" t="s">
        <v>1093</v>
      </c>
      <c r="G110" s="83" t="s">
        <v>1094</v>
      </c>
      <c r="H110" s="83" t="s">
        <v>973</v>
      </c>
      <c r="I110" s="83" t="s">
        <v>1217</v>
      </c>
      <c r="J110" s="59"/>
      <c r="K110" s="59"/>
      <c r="L110" s="59"/>
      <c r="M110" s="59"/>
      <c r="O110" s="27"/>
      <c r="R110" s="76"/>
    </row>
    <row r="111" spans="2:18" hidden="1">
      <c r="B111" s="83" t="s">
        <v>2534</v>
      </c>
      <c r="C111" s="83" t="s">
        <v>833</v>
      </c>
      <c r="D111" s="83" t="s">
        <v>1095</v>
      </c>
      <c r="E111" s="83" t="s">
        <v>13</v>
      </c>
      <c r="F111" s="83" t="s">
        <v>1096</v>
      </c>
      <c r="G111" s="83" t="s">
        <v>1097</v>
      </c>
      <c r="H111" s="83" t="s">
        <v>974</v>
      </c>
      <c r="I111" s="83" t="s">
        <v>1218</v>
      </c>
      <c r="J111" s="59"/>
      <c r="K111" s="59"/>
      <c r="L111" s="59"/>
      <c r="M111" s="59"/>
      <c r="O111" s="27"/>
      <c r="R111" s="76"/>
    </row>
    <row r="112" spans="2:18" hidden="1">
      <c r="B112" s="83" t="s">
        <v>2460</v>
      </c>
      <c r="C112" s="83" t="s">
        <v>834</v>
      </c>
      <c r="D112" s="83" t="s">
        <v>1098</v>
      </c>
      <c r="E112" s="83" t="s">
        <v>1099</v>
      </c>
      <c r="F112" s="83" t="s">
        <v>1100</v>
      </c>
      <c r="G112" s="83" t="s">
        <v>1101</v>
      </c>
      <c r="H112" s="83" t="s">
        <v>975</v>
      </c>
      <c r="I112" s="83" t="s">
        <v>1219</v>
      </c>
      <c r="J112" s="59"/>
      <c r="K112" s="59"/>
      <c r="L112" s="59"/>
      <c r="M112" s="59"/>
      <c r="O112" s="27"/>
      <c r="R112" s="76"/>
    </row>
    <row r="113" spans="2:18" hidden="1">
      <c r="B113" s="83" t="s">
        <v>2544</v>
      </c>
      <c r="C113" s="83" t="s">
        <v>835</v>
      </c>
      <c r="D113" s="83" t="s">
        <v>1102</v>
      </c>
      <c r="E113" s="83" t="s">
        <v>14</v>
      </c>
      <c r="F113" s="83" t="s">
        <v>1103</v>
      </c>
      <c r="G113" s="83" t="s">
        <v>1104</v>
      </c>
      <c r="H113" s="83" t="s">
        <v>976</v>
      </c>
      <c r="I113" s="83" t="s">
        <v>1220</v>
      </c>
      <c r="J113" s="59"/>
      <c r="K113" s="59"/>
      <c r="L113" s="59"/>
      <c r="M113" s="59"/>
      <c r="O113" s="27"/>
      <c r="R113" s="76"/>
    </row>
    <row r="114" spans="2:18" hidden="1">
      <c r="B114" s="83" t="s">
        <v>2461</v>
      </c>
      <c r="C114" s="83" t="s">
        <v>836</v>
      </c>
      <c r="D114" s="83" t="s">
        <v>1105</v>
      </c>
      <c r="E114" s="83" t="s">
        <v>1106</v>
      </c>
      <c r="F114" s="83" t="s">
        <v>1107</v>
      </c>
      <c r="G114" s="83" t="s">
        <v>1108</v>
      </c>
      <c r="H114" s="83" t="s">
        <v>977</v>
      </c>
      <c r="I114" s="83" t="s">
        <v>1221</v>
      </c>
      <c r="J114" s="59"/>
      <c r="K114" s="59"/>
      <c r="L114" s="59"/>
      <c r="M114" s="59"/>
      <c r="O114" s="27"/>
      <c r="R114" s="76"/>
    </row>
    <row r="115" spans="2:18" hidden="1">
      <c r="B115" s="83" t="s">
        <v>2462</v>
      </c>
      <c r="C115" s="83" t="s">
        <v>837</v>
      </c>
      <c r="D115" s="83" t="s">
        <v>1109</v>
      </c>
      <c r="E115" s="83" t="s">
        <v>15</v>
      </c>
      <c r="F115" s="83" t="s">
        <v>1110</v>
      </c>
      <c r="G115" s="83" t="s">
        <v>1111</v>
      </c>
      <c r="H115" s="83" t="s">
        <v>978</v>
      </c>
      <c r="I115" s="83" t="s">
        <v>1222</v>
      </c>
      <c r="J115" s="59"/>
      <c r="K115" s="59"/>
      <c r="L115" s="59"/>
      <c r="M115" s="59"/>
      <c r="O115" s="27"/>
      <c r="R115" s="76"/>
    </row>
    <row r="116" spans="2:18" hidden="1">
      <c r="B116" s="165" t="s">
        <v>2584</v>
      </c>
      <c r="C116" s="165" t="s">
        <v>1358</v>
      </c>
      <c r="D116" s="165" t="s">
        <v>2584</v>
      </c>
      <c r="E116" s="165" t="s">
        <v>2584</v>
      </c>
      <c r="F116" s="165" t="s">
        <v>1359</v>
      </c>
      <c r="G116" s="165" t="s">
        <v>1360</v>
      </c>
      <c r="H116" s="165" t="s">
        <v>2584</v>
      </c>
      <c r="I116" s="165" t="s">
        <v>1161</v>
      </c>
      <c r="J116" s="59"/>
      <c r="K116" s="76"/>
      <c r="L116" s="76"/>
      <c r="M116" s="76"/>
      <c r="O116" s="27"/>
      <c r="R116" s="76"/>
    </row>
    <row r="117" spans="2:18" hidden="1">
      <c r="B117" s="83" t="s">
        <v>1869</v>
      </c>
      <c r="C117" s="59"/>
      <c r="D117" s="59"/>
      <c r="E117" s="59"/>
      <c r="F117" s="59"/>
      <c r="G117" s="59"/>
      <c r="H117" s="59"/>
      <c r="I117" s="59"/>
      <c r="J117" s="76"/>
      <c r="O117" s="27"/>
      <c r="R117" s="76"/>
    </row>
    <row r="118" spans="2:18" hidden="1">
      <c r="B118" s="83" t="s">
        <v>1870</v>
      </c>
      <c r="C118" s="59"/>
      <c r="D118" s="59"/>
      <c r="E118" s="59"/>
      <c r="F118" s="59"/>
      <c r="G118" s="59"/>
      <c r="H118" s="59"/>
      <c r="I118" s="59"/>
      <c r="O118" s="27"/>
      <c r="R118" s="76"/>
    </row>
    <row r="119" spans="2:18" hidden="1">
      <c r="B119" s="83" t="s">
        <v>1871</v>
      </c>
      <c r="C119" s="59"/>
      <c r="D119" s="59"/>
      <c r="E119" s="59"/>
      <c r="F119" s="59"/>
      <c r="G119" s="59"/>
      <c r="H119" s="59"/>
      <c r="I119" s="59"/>
      <c r="O119" s="27"/>
      <c r="R119" s="76"/>
    </row>
    <row r="120" spans="2:18" hidden="1">
      <c r="B120" s="83" t="s">
        <v>1872</v>
      </c>
      <c r="C120" s="59"/>
      <c r="D120" s="59"/>
      <c r="E120" s="59"/>
      <c r="F120" s="59"/>
      <c r="G120" s="59"/>
      <c r="H120" s="59"/>
      <c r="I120" s="59"/>
      <c r="O120" s="27"/>
      <c r="R120" s="76"/>
    </row>
    <row r="121" spans="2:18" hidden="1">
      <c r="B121" s="83" t="s">
        <v>1958</v>
      </c>
      <c r="C121" s="107"/>
      <c r="D121" s="107"/>
      <c r="E121" s="107"/>
      <c r="F121" s="107"/>
      <c r="G121" s="107"/>
      <c r="H121" s="107"/>
      <c r="I121" s="76"/>
      <c r="O121" s="27"/>
      <c r="R121" s="76"/>
    </row>
    <row r="122" spans="2:18" hidden="1">
      <c r="O122" s="27"/>
      <c r="R122" s="76"/>
    </row>
    <row r="123" spans="2:18" hidden="1">
      <c r="B123" s="133"/>
      <c r="O123" s="27"/>
      <c r="R123" s="76"/>
    </row>
    <row r="124" spans="2:18" hidden="1">
      <c r="O124" s="27"/>
      <c r="R124" s="76"/>
    </row>
    <row r="125" spans="2:18" hidden="1">
      <c r="R125" s="76"/>
    </row>
    <row r="126" spans="2:18" ht="25.5" hidden="1">
      <c r="B126" s="109" t="s">
        <v>2456</v>
      </c>
      <c r="D126" s="109"/>
      <c r="E126" s="111" t="s">
        <v>2457</v>
      </c>
      <c r="F126" s="111"/>
      <c r="G126" s="111"/>
      <c r="H126" s="111"/>
    </row>
    <row r="127" spans="2:18" hidden="1">
      <c r="B127" s="109" t="s">
        <v>1560</v>
      </c>
      <c r="E127" s="109"/>
      <c r="F127" s="109"/>
      <c r="G127" s="109"/>
      <c r="H127" s="109"/>
    </row>
    <row r="128" spans="2:18" hidden="1">
      <c r="B128" s="109" t="s">
        <v>1561</v>
      </c>
      <c r="E128" s="109"/>
      <c r="F128" s="109"/>
      <c r="G128" s="109"/>
      <c r="H128" s="109"/>
    </row>
    <row r="129" spans="2:8" hidden="1">
      <c r="B129" s="109" t="s">
        <v>2532</v>
      </c>
      <c r="E129" s="109"/>
      <c r="F129" s="109"/>
      <c r="G129" s="109"/>
      <c r="H129" s="109"/>
    </row>
  </sheetData>
  <sheetProtection password="C453" sheet="1" objects="1" scenarios="1"/>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3">
    <mergeCell ref="F3:H3"/>
    <mergeCell ref="G55:J55"/>
    <mergeCell ref="B7:J7"/>
    <mergeCell ref="B20:J20"/>
    <mergeCell ref="H26:J26"/>
    <mergeCell ref="D19:E19"/>
    <mergeCell ref="D11:J11"/>
    <mergeCell ref="H51:J51"/>
    <mergeCell ref="H39:J39"/>
    <mergeCell ref="D28:E28"/>
    <mergeCell ref="B57:J57"/>
    <mergeCell ref="G67:J67"/>
    <mergeCell ref="G69:J69"/>
    <mergeCell ref="D55:E55"/>
    <mergeCell ref="G59:J59"/>
    <mergeCell ref="D65:E65"/>
    <mergeCell ref="D67:E67"/>
    <mergeCell ref="D63:E63"/>
    <mergeCell ref="D54:E54"/>
    <mergeCell ref="D23:E23"/>
    <mergeCell ref="D47:E47"/>
    <mergeCell ref="G34:J34"/>
    <mergeCell ref="G35:J35"/>
    <mergeCell ref="G36:J36"/>
    <mergeCell ref="G37:J37"/>
    <mergeCell ref="G41:J41"/>
    <mergeCell ref="D29:E29"/>
    <mergeCell ref="D30:E30"/>
    <mergeCell ref="D25:E25"/>
    <mergeCell ref="D53:E53"/>
    <mergeCell ref="D52:E52"/>
    <mergeCell ref="D42:E42"/>
    <mergeCell ref="D35:E35"/>
    <mergeCell ref="H45:J45"/>
    <mergeCell ref="D31:E31"/>
    <mergeCell ref="D34:E34"/>
    <mergeCell ref="D43:E43"/>
    <mergeCell ref="D46:E46"/>
    <mergeCell ref="D48:E48"/>
    <mergeCell ref="G42:J42"/>
    <mergeCell ref="G43:J43"/>
    <mergeCell ref="G46:J46"/>
    <mergeCell ref="G47:J47"/>
    <mergeCell ref="G54:J54"/>
    <mergeCell ref="G22:J22"/>
    <mergeCell ref="G23:J23"/>
    <mergeCell ref="G24:J24"/>
    <mergeCell ref="G25:J25"/>
    <mergeCell ref="G28:J28"/>
    <mergeCell ref="G29:J29"/>
    <mergeCell ref="G40:J40"/>
    <mergeCell ref="G52:J52"/>
    <mergeCell ref="G53:J53"/>
    <mergeCell ref="D41:E41"/>
    <mergeCell ref="A1:K1"/>
    <mergeCell ref="D2:J2"/>
    <mergeCell ref="D8:J8"/>
    <mergeCell ref="D13:J13"/>
    <mergeCell ref="B4:H4"/>
    <mergeCell ref="I4:J4"/>
    <mergeCell ref="D9:G9"/>
    <mergeCell ref="D22:E22"/>
    <mergeCell ref="D24:E24"/>
    <mergeCell ref="B10:B11"/>
    <mergeCell ref="D18:E18"/>
    <mergeCell ref="D49:E49"/>
    <mergeCell ref="G48:J48"/>
    <mergeCell ref="G49:J49"/>
    <mergeCell ref="D36:E36"/>
    <mergeCell ref="D37:E37"/>
    <mergeCell ref="G30:J30"/>
    <mergeCell ref="G31:J31"/>
    <mergeCell ref="D40:E40"/>
    <mergeCell ref="D69:E69"/>
    <mergeCell ref="L4:L6"/>
    <mergeCell ref="L8:L17"/>
    <mergeCell ref="D12:J12"/>
    <mergeCell ref="D16:J16"/>
    <mergeCell ref="D17:J17"/>
    <mergeCell ref="D14:J14"/>
    <mergeCell ref="B6:J6"/>
    <mergeCell ref="D15:J15"/>
    <mergeCell ref="D10:J10"/>
    <mergeCell ref="G65:J65"/>
    <mergeCell ref="J81:M81"/>
    <mergeCell ref="G58:I58"/>
    <mergeCell ref="D77:E77"/>
    <mergeCell ref="G60:J60"/>
    <mergeCell ref="G70:J70"/>
    <mergeCell ref="G72:J72"/>
    <mergeCell ref="D75:E75"/>
    <mergeCell ref="D71:E71"/>
    <mergeCell ref="D73:E73"/>
    <mergeCell ref="G71:J71"/>
    <mergeCell ref="A79:J79"/>
    <mergeCell ref="D61:E61"/>
    <mergeCell ref="D59:E59"/>
    <mergeCell ref="B78:J78"/>
    <mergeCell ref="G73:J73"/>
    <mergeCell ref="G75:J75"/>
    <mergeCell ref="G77:J77"/>
    <mergeCell ref="G61:J61"/>
    <mergeCell ref="G63:J63"/>
  </mergeCells>
  <phoneticPr fontId="4" type="noConversion"/>
  <conditionalFormatting sqref="D8">
    <cfRule type="expression" dxfId="367" priority="166">
      <formula>IF($D$8="",TRUE)</formula>
    </cfRule>
  </conditionalFormatting>
  <conditionalFormatting sqref="D14">
    <cfRule type="expression" dxfId="366" priority="163">
      <formula>IF($D$14="",TRUE)</formula>
    </cfRule>
  </conditionalFormatting>
  <conditionalFormatting sqref="D16">
    <cfRule type="expression" dxfId="365" priority="160">
      <formula>IF($D$16="",TRUE)</formula>
    </cfRule>
  </conditionalFormatting>
  <conditionalFormatting sqref="D22:E22">
    <cfRule type="expression" dxfId="364" priority="148">
      <formula>IF($D$22="",TRUE)</formula>
    </cfRule>
  </conditionalFormatting>
  <conditionalFormatting sqref="D23:E23">
    <cfRule type="expression" dxfId="363" priority="146">
      <formula>IF($D$23="",TRUE)</formula>
    </cfRule>
  </conditionalFormatting>
  <conditionalFormatting sqref="D24:E24">
    <cfRule type="expression" dxfId="362" priority="145">
      <formula>IF($D$24="",TRUE)</formula>
    </cfRule>
  </conditionalFormatting>
  <conditionalFormatting sqref="D25:E25">
    <cfRule type="expression" dxfId="361" priority="144">
      <formula>IF($D$25="",TRUE)</formula>
    </cfRule>
  </conditionalFormatting>
  <conditionalFormatting sqref="D69 D71 D73 D75 D77 D59 D61 D63 D65 D67 D9 D18">
    <cfRule type="expression" dxfId="360" priority="114">
      <formula>IF(D9="",TRUE)</formula>
    </cfRule>
  </conditionalFormatting>
  <conditionalFormatting sqref="D40">
    <cfRule type="expression" dxfId="359" priority="94">
      <formula>IF(F40=1,TRUE)</formula>
    </cfRule>
    <cfRule type="expression" dxfId="358" priority="95">
      <formula>IF(D40="",TRUE)</formula>
    </cfRule>
  </conditionalFormatting>
  <conditionalFormatting sqref="D52">
    <cfRule type="expression" dxfId="357" priority="92">
      <formula>IF(F52=1,TRUE)</formula>
    </cfRule>
    <cfRule type="expression" dxfId="356" priority="93">
      <formula>IF(D52="",TRUE)</formula>
    </cfRule>
  </conditionalFormatting>
  <conditionalFormatting sqref="D41">
    <cfRule type="expression" dxfId="355" priority="78">
      <formula>IF(F41=1,TRUE)</formula>
    </cfRule>
    <cfRule type="expression" dxfId="354" priority="79">
      <formula>IF(D41="",TRUE)</formula>
    </cfRule>
  </conditionalFormatting>
  <conditionalFormatting sqref="D42">
    <cfRule type="expression" dxfId="353" priority="76">
      <formula>IF(F42=1,TRUE)</formula>
    </cfRule>
    <cfRule type="expression" dxfId="352" priority="77">
      <formula>IF(D42="",TRUE)</formula>
    </cfRule>
  </conditionalFormatting>
  <conditionalFormatting sqref="D43">
    <cfRule type="expression" dxfId="351" priority="74">
      <formula>IF(F43=1,TRUE)</formula>
    </cfRule>
    <cfRule type="expression" dxfId="350" priority="75">
      <formula>IF(D43="",TRUE)</formula>
    </cfRule>
  </conditionalFormatting>
  <conditionalFormatting sqref="D53">
    <cfRule type="expression" dxfId="349" priority="72">
      <formula>IF(F53=1,TRUE)</formula>
    </cfRule>
    <cfRule type="expression" dxfId="348" priority="73">
      <formula>IF(D53="",TRUE)</formula>
    </cfRule>
  </conditionalFormatting>
  <conditionalFormatting sqref="D54">
    <cfRule type="expression" dxfId="347" priority="70">
      <formula>IF(F54=1,TRUE)</formula>
    </cfRule>
    <cfRule type="expression" dxfId="346" priority="71">
      <formula>IF(D54="",TRUE)</formula>
    </cfRule>
  </conditionalFormatting>
  <conditionalFormatting sqref="D55">
    <cfRule type="expression" dxfId="345" priority="68">
      <formula>IF(F55=1,TRUE)</formula>
    </cfRule>
    <cfRule type="expression" dxfId="344" priority="69">
      <formula>IF(D55="",TRUE)</formula>
    </cfRule>
  </conditionalFormatting>
  <conditionalFormatting sqref="I3">
    <cfRule type="cellIs" dxfId="343" priority="53" operator="equal">
      <formula>"1 or more required fields need to be populated"</formula>
    </cfRule>
  </conditionalFormatting>
  <conditionalFormatting sqref="D46">
    <cfRule type="expression" dxfId="342" priority="38">
      <formula>IF(F46=1,TRUE)</formula>
    </cfRule>
    <cfRule type="expression" dxfId="341" priority="39">
      <formula>IF(D46="",TRUE)</formula>
    </cfRule>
  </conditionalFormatting>
  <conditionalFormatting sqref="D47">
    <cfRule type="expression" dxfId="340" priority="36">
      <formula>IF(F47=1,TRUE)</formula>
    </cfRule>
    <cfRule type="expression" dxfId="339" priority="37">
      <formula>IF(D47="",TRUE)</formula>
    </cfRule>
  </conditionalFormatting>
  <conditionalFormatting sqref="D48">
    <cfRule type="expression" dxfId="338" priority="34">
      <formula>IF(F48=1,TRUE)</formula>
    </cfRule>
    <cfRule type="expression" dxfId="337" priority="35">
      <formula>IF(D48="",TRUE)</formula>
    </cfRule>
  </conditionalFormatting>
  <conditionalFormatting sqref="D49">
    <cfRule type="expression" dxfId="336" priority="32">
      <formula>IF(F49=1,TRUE)</formula>
    </cfRule>
    <cfRule type="expression" dxfId="335" priority="33">
      <formula>IF(D49="",TRUE)</formula>
    </cfRule>
  </conditionalFormatting>
  <conditionalFormatting sqref="D28">
    <cfRule type="expression" dxfId="334" priority="22">
      <formula>IF(F28=1,TRUE)</formula>
    </cfRule>
    <cfRule type="expression" dxfId="333" priority="23">
      <formula>IF(D28="",TRUE)</formula>
    </cfRule>
  </conditionalFormatting>
  <conditionalFormatting sqref="D29">
    <cfRule type="expression" dxfId="332" priority="20">
      <formula>IF(F29=1,TRUE)</formula>
    </cfRule>
    <cfRule type="expression" dxfId="331" priority="21">
      <formula>IF(D29="",TRUE)</formula>
    </cfRule>
  </conditionalFormatting>
  <conditionalFormatting sqref="D30">
    <cfRule type="expression" dxfId="330" priority="18">
      <formula>IF(F30=1,TRUE)</formula>
    </cfRule>
    <cfRule type="expression" dxfId="329" priority="19">
      <formula>IF(D30="",TRUE)</formula>
    </cfRule>
  </conditionalFormatting>
  <conditionalFormatting sqref="D31">
    <cfRule type="expression" dxfId="328" priority="16">
      <formula>IF(F31=1,TRUE)</formula>
    </cfRule>
    <cfRule type="expression" dxfId="327" priority="17">
      <formula>IF(D31="",TRUE)</formula>
    </cfRule>
  </conditionalFormatting>
  <conditionalFormatting sqref="D34">
    <cfRule type="expression" dxfId="326" priority="14">
      <formula>IF(F34=1,TRUE)</formula>
    </cfRule>
    <cfRule type="expression" dxfId="325" priority="15">
      <formula>IF(D34="",TRUE)</formula>
    </cfRule>
  </conditionalFormatting>
  <conditionalFormatting sqref="D35">
    <cfRule type="expression" dxfId="324" priority="12">
      <formula>IF(F35=1,TRUE)</formula>
    </cfRule>
    <cfRule type="expression" dxfId="323" priority="13">
      <formula>IF(D35="",TRUE)</formula>
    </cfRule>
  </conditionalFormatting>
  <conditionalFormatting sqref="D36">
    <cfRule type="expression" dxfId="322" priority="10">
      <formula>IF(F36=1,TRUE)</formula>
    </cfRule>
    <cfRule type="expression" dxfId="321" priority="11">
      <formula>IF(D36="",TRUE)</formula>
    </cfRule>
  </conditionalFormatting>
  <conditionalFormatting sqref="D37">
    <cfRule type="expression" dxfId="320" priority="8">
      <formula>IF(F37=1,TRUE)</formula>
    </cfRule>
    <cfRule type="expression" dxfId="319" priority="9">
      <formula>IF(D37="",TRUE)</formula>
    </cfRule>
  </conditionalFormatting>
  <conditionalFormatting sqref="D10">
    <cfRule type="expression" dxfId="318" priority="6">
      <formula>IF(N11=1,TRUE)</formula>
    </cfRule>
  </conditionalFormatting>
  <conditionalFormatting sqref="D11:J11">
    <cfRule type="expression" dxfId="317" priority="5">
      <formula>IF(N11=1,TRUE)</formula>
    </cfRule>
  </conditionalFormatting>
  <conditionalFormatting sqref="D10:J10">
    <cfRule type="expression" dxfId="316" priority="3">
      <formula>IF(D10&lt;&gt;0,TRUE)</formula>
    </cfRule>
    <cfRule type="expression" dxfId="315" priority="4">
      <formula>IF(N12=1,TRUE)</formula>
    </cfRule>
  </conditionalFormatting>
  <conditionalFormatting sqref="D46:D49">
    <cfRule type="expression" dxfId="314" priority="1">
      <formula>IF(F46=1,TRUE)</formula>
    </cfRule>
    <cfRule type="expression" dxfId="313" priority="2">
      <formula>IF(D46="",TRUE)</formula>
    </cfRule>
  </conditionalFormatting>
  <dataValidations count="14">
    <dataValidation type="list" allowBlank="1" showInputMessage="1" showErrorMessage="1" sqref="D71:E71 D61:E61 D59:E59 D22:E25 D69:E69">
      <formula1>"Yes,No"</formula1>
    </dataValidation>
    <dataValidation type="list" allowBlank="1" showInputMessage="1" showErrorMessage="1" sqref="D77:E77 D67:E67 D75:E75">
      <formula1>"Yes, No"</formula1>
    </dataValidation>
    <dataValidation type="list" allowBlank="1" showInputMessage="1" showErrorMessage="1" sqref="D73:E73">
      <formula1>"Yes (3rd party audit),Yes (documentation review only),Yes (internal audit),Yes (all methods apply),No"</formula1>
    </dataValidation>
    <dataValidation type="list" allowBlank="1" showInputMessage="1" showErrorMessage="1" sqref="D52:E55">
      <formula1>"Yes, No,Unknown"</formula1>
    </dataValidation>
    <dataValidation type="list" allowBlank="1" showInputMessage="1" showErrorMessage="1" sqref="D63:E63">
      <formula1>"Yes,Yes included in standard contract language,No"</formula1>
    </dataValidation>
    <dataValidation type="list" allowBlank="1" showInputMessage="1" showErrorMessage="1" sqref="D46:E49">
      <formula1>"Yes all smelters have been provided,No"</formula1>
    </dataValidation>
    <dataValidation type="list" allowBlank="1" showInputMessage="1" showErrorMessage="1" sqref="D40:E43">
      <formula1>"Yes,No but &gt; 75%,No but &gt; 50%,No but &gt; 25%,No but &lt; 25%,No - none"</formula1>
    </dataValidation>
    <dataValidation type="list" allowBlank="1" showInputMessage="1" showErrorMessage="1" sqref="D65:E65">
      <formula1>"Yes,No,Planned once lists become available"</formula1>
    </dataValidation>
    <dataValidation type="list" allowBlank="1" showInputMessage="1" showErrorMessage="1" sqref="D28:E31 D34:E37">
      <formula1>"Yes,No,Uncertain or Unknown"</formula1>
    </dataValidation>
    <dataValidation type="list" allowBlank="1" showInputMessage="1" showErrorMessage="1" sqref="D3">
      <formula1>"English, 中文 Chinese,日本語 Japanese,한국어 Korean, Français,Português,Deutsch,Español"</formula1>
    </dataValidation>
    <dataValidation errorStyle="information" allowBlank="1" showInputMessage="1" showErrorMessage="1" errorTitle="Required Field" error="fill this in" sqref="D8:J8 H9:J9 D10:D11"/>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E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$B$126:$B$129</formula1>
    </dataValidation>
  </dataValidations>
  <hyperlinks>
    <hyperlink ref="H51" r:id="rId2" display="http://www.conflictfreesmelter.org/"/>
    <hyperlink ref="H51:J51" r:id="rId3" display="Link to &quot;CFS Compliant Smelter List&quot;"/>
    <hyperlink ref="B78:J78" location="Checker!A1" display="Checker!A1"/>
    <hyperlink ref="H39:J39" location="'Smelter List'!B5" display="'Smelter List'!B5"/>
    <hyperlink ref="H45:J45" location="'Smelter List'!J3" display="'Smelter List'!J3"/>
    <hyperlink ref="I4:J4" location="Instructions!A56" display="Link to Terms &amp; Conditions"/>
    <hyperlink ref="F3:H3" location="Checker!A1" display="Checker!A1"/>
    <hyperlink ref="D11:J11" location="'Product List'!B6" display="'Product List'!B6"/>
  </hyperlinks>
  <pageMargins left="0.7" right="0.7" top="0.75" bottom="0.75" header="0.3" footer="0.3"/>
  <pageSetup scale="18" orientation="portrait" r:id="rId4"/>
  <drawing r:id="rId5"/>
  <legacyDrawing r:id="rId6"/>
</worksheet>
</file>

<file path=xl/worksheets/sheet5.xml><?xml version="1.0" encoding="utf-8"?>
<worksheet xmlns="http://schemas.openxmlformats.org/spreadsheetml/2006/main" xmlns:r="http://schemas.openxmlformats.org/officeDocument/2006/relationships">
  <sheetPr codeName="Sheet51" enableFormatConditionsCalculation="0">
    <tabColor rgb="FFFFC000"/>
    <pageSetUpPr fitToPage="1"/>
  </sheetPr>
  <dimension ref="A1:V1379"/>
  <sheetViews>
    <sheetView showZeros="0" zoomScale="75" zoomScaleNormal="75" zoomScalePageLayoutView="75" workbookViewId="0">
      <pane xSplit="1" ySplit="4" topLeftCell="B5" activePane="bottomRight" state="frozen"/>
      <selection pane="topRight" activeCell="B1" sqref="B1"/>
      <selection pane="bottomLeft" activeCell="A5" sqref="A5"/>
      <selection pane="bottomRight" activeCell="N127" sqref="N127"/>
    </sheetView>
  </sheetViews>
  <sheetFormatPr baseColWidth="10" defaultColWidth="8.75" defaultRowHeight="12.75"/>
  <cols>
    <col min="1" max="1" width="1.625" style="56" customWidth="1"/>
    <col min="2" max="2" width="13.375" style="56" customWidth="1"/>
    <col min="3" max="4" width="40.5" style="56" customWidth="1"/>
    <col min="5" max="5" width="25.75" style="56" customWidth="1"/>
    <col min="6" max="7" width="25.125" style="56" customWidth="1"/>
    <col min="8" max="8" width="24.25" style="56" customWidth="1"/>
    <col min="9" max="9" width="18.375" style="56" customWidth="1"/>
    <col min="10" max="10" width="27.375" style="56" customWidth="1"/>
    <col min="11" max="11" width="20.625" style="56" customWidth="1"/>
    <col min="12" max="12" width="35.125" style="56" customWidth="1"/>
    <col min="13" max="13" width="42.125" style="56" customWidth="1"/>
    <col min="14" max="14" width="30.125" style="56" customWidth="1"/>
    <col min="15" max="15" width="1.625" style="56" customWidth="1"/>
    <col min="16" max="16" width="8.75" style="56"/>
    <col min="17" max="17" width="39.25" style="56" customWidth="1"/>
    <col min="18" max="21" width="8.75" style="56" customWidth="1"/>
    <col min="22" max="16384" width="8.75" style="56"/>
  </cols>
  <sheetData>
    <row r="1" spans="1:18" ht="13.5" thickTop="1">
      <c r="A1" s="300"/>
      <c r="B1" s="301"/>
      <c r="C1" s="301"/>
      <c r="D1" s="301"/>
      <c r="E1" s="301"/>
      <c r="F1" s="301"/>
      <c r="G1" s="301"/>
      <c r="H1" s="301"/>
      <c r="I1" s="301"/>
      <c r="J1" s="301"/>
      <c r="K1" s="301"/>
      <c r="L1" s="301"/>
      <c r="M1" s="301"/>
      <c r="N1" s="301"/>
      <c r="O1" s="302"/>
      <c r="Q1" s="111"/>
      <c r="R1" s="107"/>
    </row>
    <row r="2" spans="1:18" ht="27.6" customHeight="1">
      <c r="A2" s="308"/>
      <c r="B2" s="309" t="str">
        <f>IF($K$3="English",D1019,IF($K$3="中文 Chinese",E1019,IF($K$3="日本語 Japanese",F1019,IF($K$3="한국어 Korean",G1019,IF($K$3="Français",H1019,IF($K$3="Português",I1019,IF($K$3="Deutsch",J1019,IF($K$3="Español",K1019))))))))</f>
        <v>To begin:
Step 1. Select Metal in column B
Step 2. Select from dropdown in column C
Step 3. If dropdown selection is "Smelter Not Listed" complete columns D &amp; E
Step 4. Enter all available smelter information in columns F thru N</v>
      </c>
      <c r="C2" s="310"/>
      <c r="D2" s="310"/>
      <c r="E2" s="215"/>
      <c r="F2" s="215"/>
      <c r="G2" s="215"/>
      <c r="H2" s="216"/>
      <c r="I2" s="306" t="str">
        <f>IF($K$3="English",D1018,IF($K$3="中文 Chinese",E1018,IF($K$3="日本語 Japanese",F1018,IF($K$3="한국어 Korean",G1018,IF($K$3="Français",H1018,IF($K$3="Português",I1018,IF($K$3="Deutsch",J1018,IF($K$3="Español",K1018))))))))</f>
        <v>Link to "CFS Compliant Smelter List"</v>
      </c>
      <c r="J2" s="307"/>
      <c r="K2" s="307"/>
      <c r="L2" s="307"/>
      <c r="M2" s="307"/>
      <c r="N2" s="307"/>
      <c r="O2" s="138"/>
      <c r="R2" s="111"/>
    </row>
    <row r="3" spans="1:18" ht="92.45" customHeight="1">
      <c r="A3" s="308"/>
      <c r="B3" s="311"/>
      <c r="C3" s="312"/>
      <c r="D3" s="312"/>
      <c r="E3" s="217"/>
      <c r="F3" s="217"/>
      <c r="G3" s="217"/>
      <c r="H3" s="218"/>
      <c r="I3" s="304" t="s">
        <v>1162</v>
      </c>
      <c r="J3" s="305"/>
      <c r="K3" s="81" t="s">
        <v>1853</v>
      </c>
      <c r="L3" s="141"/>
      <c r="M3" s="141"/>
      <c r="N3" s="98" t="s">
        <v>153</v>
      </c>
      <c r="O3" s="138"/>
    </row>
    <row r="4" spans="1:18" s="57" customFormat="1" ht="47.25">
      <c r="A4" s="308"/>
      <c r="B4" s="80" t="str">
        <f>IF($K$3="English",D1005,IF($K$3="中文 Chinese",E1005,IF($K$3="日本語 Japanese",F1005,IF($K$3="한국어 Korean",G1005,IF($K$3="Français",H1005,IF($K$3="Português",I1005,IF($K$3="Deutsch",J1005,IF($K$3="Español",K1005))))))))</f>
        <v>Metal (*)</v>
      </c>
      <c r="C4" s="80" t="str">
        <f>IF($K$3="English",D1006,IF($K$3="中文 Chinese",E1006,IF($K$3="日本語 Japanese",F1006,IF($K$3="한국어 Korean",G1006,IF($K$3="Français",H1006,IF($K$3="Português",I1006,IF($K$3="Deutsch",J1006,IF($K$3="Español",K1006))))))))</f>
        <v>Smelter Reference List (*)</v>
      </c>
      <c r="D4" s="80" t="str">
        <f>IF($K$3="English",D1007,IF($K$3="中文 Chinese",E1007,IF($K$3="日本語 Japanese",F1007,IF($K$3="한국어 Korean",G1007,IF($K$3="Français",H1007,IF($K$3="Português",I1007,IF($K$3="Deutsch",J1007,IF($K$3="Español",K1007))))))))</f>
        <v>Standard Smelter Names (*)</v>
      </c>
      <c r="E4" s="80" t="str">
        <f>IF($K$3="English",D1008,IF($K$3="中文 Chinese",E1008,IF($K$3="日本語 Japanese",F1008,IF($K$3="한국어 Korean",G1008,IF($K$3="Français",H1008,IF($K$3="Português",I1008,IF($K$3="Deutsch",J1008,IF($K$3="Español",K1008))))))))</f>
        <v>Smelter Facility Location: Country (*)</v>
      </c>
      <c r="F4" s="80" t="str">
        <f>IF($K$3="English",D1009,IF($K$3="中文 Chinese",E1009,IF($K$3="日本語 Japanese",F1009,IF($K$3="한국어 Korean",G1009,IF($K$3="Français",H1009,IF($K$3="Português",I1009,IF($K$3="Deutsch",J1009,IF($K$3="Español",K1009))))))))</f>
        <v>Smelter Facility Location: Street address</v>
      </c>
      <c r="G4" s="80" t="str">
        <f>IF($K$3="English",D1010,IF($K$3="中文 Chinese",E1010,IF($K$3="日本語 Japanese",F1010,IF($K$3="한국어 Korean",G1010,IF($K$3="Français",H1010,IF($K$3="Português",I1010,IF($K$3="Deutsch",J1010,IF($K$3="Español",K1010))))))))</f>
        <v>Smelter Facility Location: City</v>
      </c>
      <c r="H4" s="80" t="str">
        <f>IF($K$3="English",D1011,IF($K$3="中文 Chinese",E1011,IF($K$3="日本語 Japanese",F1011,IF($K$3="한국어 Korean",G1011,IF($K$3="Français",H1011,IF($K$3="Português",I1011,IF($K$3="Deutsch",J1011,IF($K$3="Español",K1011))))))))</f>
        <v>Smelter Facility Location: State / Province</v>
      </c>
      <c r="I4" s="80" t="str">
        <f>IF($K$3="English",D1012,IF($K$3="中文 Chinese",E1012,IF($K$3="日本語 Japanese",F1012,IF($K$3="한국어 Korean",G1012,IF($K$3="Français",H1012,IF($K$3="Português",I1012,IF($K$3="Deutsch",J1012,IF($K$3="Español",K1012))))))))</f>
        <v>Smelter Facility Contact Name</v>
      </c>
      <c r="J4" s="80" t="str">
        <f>IF($K$3="English",D1013,IF($K$3="中文 Chinese",E1013,IF($K$3="日本語 Japanese",F1013,IF($K$3="한국어 Korean",G1013,IF($K$3="Français",H1013,IF($K$3="Português",I1013,IF($K$3="Deutsch",J1013,IF($K$3="Español",K1013))))))))</f>
        <v>Smelter Facility Contact Email</v>
      </c>
      <c r="K4" s="80" t="str">
        <f>IF($K$3="English",D1014,IF($K$3="中文 Chinese",E1014,IF($K$3="日本語 Japanese",F1014,IF($K$3="한국어 Korean",G1014,IF($K$3="Français",H1014,IF($K$3="Português",I1014,IF($K$3="Deutsch",J1014,IF($K$3="Español",K1014))))))))</f>
        <v>Proposed next steps, if applicable</v>
      </c>
      <c r="L4" s="80" t="str">
        <f>IF($K$3="English",D1015,IF($K$3="中文 Chinese",E1015,IF($K$3="日本語 Japanese",F1015,IF($K$3="한국어 Korean",G1015,IF($K$3="Français",H1015,IF($K$3="Português",I1015,IF($K$3="Deutsch",J1015,IF($K$3="Español",K1015))))))))</f>
        <v>Name of Mine(s) or if recycled or scrap sourced, state recycled or scrap</v>
      </c>
      <c r="M4" s="80" t="str">
        <f>IF($K$3="English",D1016,IF($K$3="中文 Chinese",E1016,IF($K$3="日本語 Japanese",F1016,IF($K$3="한국어 Korean",G1016,IF($K$3="Français",H1016,IF($K$3="Português",I1016,IF($K$3="Deutsch",J1016,IF($K$3="Español",K1016))))))))</f>
        <v>Location (Country) of Mine(s) or if recycled or scrap sourced, state recycled or scrap</v>
      </c>
      <c r="N4" s="80" t="str">
        <f>IF($K$3="English",D1017,IF($K$3="中文 Chinese",E1017,IF($K$3="日本語 Japanese",F1017,IF($K$3="한국어 Korean",G1017,IF($K$3="Français",H1017,IF($K$3="Português",I1017,IF($K$3="Deutsch",J1017,IF($K$3="Español",K1017))))))))</f>
        <v>Comments</v>
      </c>
      <c r="O4" s="138"/>
      <c r="Q4" s="175"/>
    </row>
    <row r="5" spans="1:18" s="212" customFormat="1" ht="15.75">
      <c r="A5" s="209" t="str">
        <f ca="1">IF(ISNA(VLOOKUP(D5,'Standard Smelter Names'!$B$3:$E$165,4,FALSE)),"",VLOOKUP(D5,'Standard Smelter Names'!$B$3:$E$165,4,FALSE))</f>
        <v/>
      </c>
      <c r="B5" s="210" t="s">
        <v>1267</v>
      </c>
      <c r="C5" s="211" t="s">
        <v>43</v>
      </c>
      <c r="D5" s="223" t="s">
        <v>159</v>
      </c>
      <c r="E5" s="210" t="s">
        <v>2313</v>
      </c>
      <c r="F5" s="210"/>
      <c r="G5" s="210"/>
      <c r="H5" s="210"/>
      <c r="I5" s="210"/>
      <c r="J5" s="210"/>
      <c r="K5" s="210"/>
      <c r="L5" s="210"/>
      <c r="M5" s="210"/>
      <c r="N5" s="210"/>
      <c r="O5" s="196"/>
    </row>
    <row r="6" spans="1:18" s="212" customFormat="1" ht="15.75">
      <c r="A6" s="209" t="str">
        <f ca="1">IF(ISNA(VLOOKUP(D6,'Standard Smelter Names'!$B$3:$E$165,4,FALSE)),"",VLOOKUP(D6,'Standard Smelter Names'!$B$3:$E$165,4,FALSE))</f>
        <v>1DEU001</v>
      </c>
      <c r="B6" s="210" t="s">
        <v>1267</v>
      </c>
      <c r="C6" s="211" t="s">
        <v>2496</v>
      </c>
      <c r="D6" s="211" t="str">
        <f t="shared" ref="D6:D68" si="0">IF(ISNA(VLOOKUP(C6,$G$1023:$I$1379,3,FALSE)),"",VLOOKUP(C6,$G$1023:$I$1379,3,FALSE))</f>
        <v>Allgemeine Gold- und Silberscheideanstalt A.G.</v>
      </c>
      <c r="E6" s="210" t="str">
        <f t="shared" ref="E6:E68" si="1">IF(ISNA(VLOOKUP(C6,$G$1023:$I$1379,2,FALSE)),"",VLOOKUP(C6,$G$1023:$I$1379,2,FALSE))</f>
        <v>GERMANY</v>
      </c>
      <c r="F6" s="210"/>
      <c r="G6" s="210"/>
      <c r="H6" s="210"/>
      <c r="I6" s="210"/>
      <c r="J6" s="210"/>
      <c r="K6" s="210"/>
      <c r="L6" s="210"/>
      <c r="M6" s="210"/>
      <c r="N6" s="210"/>
      <c r="O6" s="196"/>
    </row>
    <row r="7" spans="1:18" s="212" customFormat="1" ht="15.75">
      <c r="A7" s="209" t="str">
        <f ca="1">IF(ISNA(VLOOKUP(D7,'Standard Smelter Names'!$B$3:$E$165,4,FALSE)),"",VLOOKUP(D7,'Standard Smelter Names'!$B$3:$E$165,4,FALSE))</f>
        <v>1CHE004</v>
      </c>
      <c r="B7" s="210" t="s">
        <v>1267</v>
      </c>
      <c r="C7" s="211" t="s">
        <v>575</v>
      </c>
      <c r="D7" s="211" t="str">
        <f t="shared" si="0"/>
        <v>Argor-Heraeus SA</v>
      </c>
      <c r="E7" s="210" t="str">
        <f t="shared" si="1"/>
        <v>SWITZERLAND</v>
      </c>
      <c r="F7" s="210"/>
      <c r="G7" s="210"/>
      <c r="H7" s="210"/>
      <c r="I7" s="210"/>
      <c r="J7" s="210" t="s">
        <v>162</v>
      </c>
      <c r="K7" s="210"/>
      <c r="L7" s="210"/>
      <c r="M7" s="210"/>
      <c r="N7" s="210"/>
      <c r="O7" s="196"/>
    </row>
    <row r="8" spans="1:18" s="212" customFormat="1" ht="15.75">
      <c r="A8" s="209" t="str">
        <f ca="1">IF(ISNA(VLOOKUP(D8,'Standard Smelter Names'!$B$3:$E$165,4,FALSE)),"",VLOOKUP(D8,'Standard Smelter Names'!$B$3:$E$165,4,FALSE))</f>
        <v>1JPN005</v>
      </c>
      <c r="B8" s="210" t="s">
        <v>1267</v>
      </c>
      <c r="C8" s="211" t="s">
        <v>576</v>
      </c>
      <c r="D8" s="211" t="str">
        <f t="shared" si="0"/>
        <v>Asahi Pretec Corp</v>
      </c>
      <c r="E8" s="210" t="str">
        <f t="shared" si="1"/>
        <v>JAPAN</v>
      </c>
      <c r="F8" s="210"/>
      <c r="G8" s="210"/>
      <c r="H8" s="210"/>
      <c r="I8" s="210"/>
      <c r="J8" s="210"/>
      <c r="K8" s="210"/>
      <c r="L8" s="210"/>
      <c r="M8" s="210"/>
      <c r="N8" s="210"/>
      <c r="O8" s="196"/>
    </row>
    <row r="9" spans="1:18" s="212" customFormat="1" ht="15.75">
      <c r="A9" s="209" t="str">
        <f ca="1">IF(ISNA(VLOOKUP(D9,'Standard Smelter Names'!$B$3:$E$165,4,FALSE)),"",VLOOKUP(D9,'Standard Smelter Names'!$B$3:$E$165,4,FALSE))</f>
        <v/>
      </c>
      <c r="B9" s="210" t="s">
        <v>1267</v>
      </c>
      <c r="C9" s="211" t="s">
        <v>44</v>
      </c>
      <c r="D9" s="223" t="s">
        <v>160</v>
      </c>
      <c r="E9" s="210" t="s">
        <v>2313</v>
      </c>
      <c r="F9" s="210"/>
      <c r="G9" s="210"/>
      <c r="H9" s="210"/>
      <c r="I9" s="210"/>
      <c r="J9" s="210"/>
      <c r="K9" s="210"/>
      <c r="L9" s="210"/>
      <c r="M9" s="210"/>
      <c r="N9" s="210"/>
      <c r="O9" s="196"/>
    </row>
    <row r="10" spans="1:18" s="212" customFormat="1" ht="15.75">
      <c r="A10" s="209" t="str">
        <f ca="1">IF(ISNA(VLOOKUP(D10,'Standard Smelter Names'!$B$3:$E$165,4,FALSE)),"",VLOOKUP(D10,'Standard Smelter Names'!$B$3:$E$165,4,FALSE))</f>
        <v>1MEX010</v>
      </c>
      <c r="B10" s="210" t="s">
        <v>1267</v>
      </c>
      <c r="C10" s="211" t="s">
        <v>2501</v>
      </c>
      <c r="D10" s="211" t="str">
        <f t="shared" si="0"/>
        <v>Caridad</v>
      </c>
      <c r="E10" s="210" t="str">
        <f t="shared" si="1"/>
        <v>MEXICO</v>
      </c>
      <c r="F10" s="210"/>
      <c r="G10" s="210"/>
      <c r="H10" s="210"/>
      <c r="I10" s="210"/>
      <c r="J10" s="210"/>
      <c r="K10" s="210"/>
      <c r="L10" s="210"/>
      <c r="M10" s="210" t="s">
        <v>163</v>
      </c>
      <c r="N10" s="210"/>
      <c r="O10" s="196"/>
    </row>
    <row r="11" spans="1:18" s="212" customFormat="1" ht="15.75">
      <c r="A11" s="209" t="str">
        <f ca="1">IF(ISNA(VLOOKUP(D11,'Standard Smelter Names'!$B$3:$E$165,4,FALSE)),"",VLOOKUP(D11,'Standard Smelter Names'!$B$3:$E$165,4,FALSE))</f>
        <v/>
      </c>
      <c r="B11" s="210" t="s">
        <v>1267</v>
      </c>
      <c r="C11" s="211" t="s">
        <v>146</v>
      </c>
      <c r="D11" s="223" t="s">
        <v>161</v>
      </c>
      <c r="E11" s="210" t="s">
        <v>2313</v>
      </c>
      <c r="F11" s="210"/>
      <c r="G11" s="210"/>
      <c r="H11" s="210"/>
      <c r="I11" s="210"/>
      <c r="J11" s="210"/>
      <c r="K11" s="210"/>
      <c r="L11" s="210"/>
      <c r="M11" s="210"/>
      <c r="N11" s="210"/>
      <c r="O11" s="196"/>
    </row>
    <row r="12" spans="1:18" s="212" customFormat="1" ht="15.75">
      <c r="A12" s="209" t="str">
        <f ca="1">IF(ISNA(VLOOKUP(D12,'Standard Smelter Names'!$B$3:$E$165,4,FALSE)),"",VLOOKUP(D12,'Standard Smelter Names'!$B$3:$E$165,4,FALSE))</f>
        <v>1CHL014</v>
      </c>
      <c r="B12" s="210" t="s">
        <v>1267</v>
      </c>
      <c r="C12" s="211" t="s">
        <v>2503</v>
      </c>
      <c r="D12" s="211" t="str">
        <f t="shared" si="0"/>
        <v>Codelco</v>
      </c>
      <c r="E12" s="210" t="str">
        <f t="shared" si="1"/>
        <v>CHILE</v>
      </c>
      <c r="F12" s="210"/>
      <c r="G12" s="210"/>
      <c r="H12" s="210"/>
      <c r="I12" s="210"/>
      <c r="J12" s="210"/>
      <c r="K12" s="210"/>
      <c r="L12" s="210"/>
      <c r="M12" s="210"/>
      <c r="N12" s="210"/>
      <c r="O12" s="196"/>
    </row>
    <row r="13" spans="1:18" s="212" customFormat="1" ht="15.75">
      <c r="A13" s="209" t="str">
        <f ca="1">IF(ISNA(VLOOKUP(D13,'Standard Smelter Names'!$B$3:$E$165,4,FALSE)),"",VLOOKUP(D13,'Standard Smelter Names'!$B$3:$E$165,4,FALSE))</f>
        <v/>
      </c>
      <c r="B13" s="210" t="s">
        <v>1267</v>
      </c>
      <c r="C13" s="211" t="s">
        <v>569</v>
      </c>
      <c r="D13" s="223" t="s">
        <v>164</v>
      </c>
      <c r="E13" s="210" t="s">
        <v>2269</v>
      </c>
      <c r="F13" s="210"/>
      <c r="G13" s="210"/>
      <c r="H13" s="210"/>
      <c r="I13" s="224" t="s">
        <v>165</v>
      </c>
      <c r="J13" s="224" t="s">
        <v>166</v>
      </c>
      <c r="K13" s="210"/>
      <c r="L13" s="210"/>
      <c r="M13" s="210"/>
      <c r="N13" s="210"/>
      <c r="O13" s="196"/>
    </row>
    <row r="14" spans="1:18" s="212" customFormat="1" ht="15.75">
      <c r="A14" s="209" t="str">
        <f ca="1">IF(ISNA(VLOOKUP(D14,'Standard Smelter Names'!$B$3:$E$165,4,FALSE)),"",VLOOKUP(D14,'Standard Smelter Names'!$B$3:$E$165,4,FALSE))</f>
        <v>1JPN015</v>
      </c>
      <c r="B14" s="210" t="s">
        <v>1267</v>
      </c>
      <c r="C14" s="211" t="s">
        <v>2504</v>
      </c>
      <c r="D14" s="211" t="str">
        <f t="shared" si="0"/>
        <v>Dowa</v>
      </c>
      <c r="E14" s="210" t="str">
        <f t="shared" si="1"/>
        <v>JAPAN</v>
      </c>
      <c r="F14" s="210"/>
      <c r="G14" s="210"/>
      <c r="H14" s="210"/>
      <c r="I14" s="224" t="s">
        <v>167</v>
      </c>
      <c r="J14" s="224" t="s">
        <v>168</v>
      </c>
      <c r="K14" s="210"/>
      <c r="L14" s="210"/>
      <c r="M14" s="210"/>
      <c r="N14" s="210"/>
      <c r="O14" s="196"/>
    </row>
    <row r="15" spans="1:18" s="212" customFormat="1" ht="15.75">
      <c r="A15" s="209" t="str">
        <f ca="1">IF(ISNA(VLOOKUP(D15,'Standard Smelter Names'!$B$3:$E$165,4,FALSE)),"",VLOOKUP(D15,'Standard Smelter Names'!$B$3:$E$165,4,FALSE))</f>
        <v>1HKG019</v>
      </c>
      <c r="B15" s="210" t="s">
        <v>1267</v>
      </c>
      <c r="C15" s="211" t="s">
        <v>863</v>
      </c>
      <c r="D15" s="211" t="str">
        <f t="shared" si="0"/>
        <v>Heraeus Ltd Hong Kong</v>
      </c>
      <c r="E15" s="210" t="str">
        <f t="shared" si="1"/>
        <v>HONG KONG</v>
      </c>
      <c r="F15" s="210"/>
      <c r="G15" s="210"/>
      <c r="H15" s="210"/>
      <c r="I15" s="224" t="s">
        <v>169</v>
      </c>
      <c r="J15" s="224" t="s">
        <v>170</v>
      </c>
      <c r="K15" s="210"/>
      <c r="L15" s="210"/>
      <c r="M15" s="210"/>
      <c r="N15" s="210"/>
      <c r="O15" s="196"/>
    </row>
    <row r="16" spans="1:18" s="212" customFormat="1" ht="15.75">
      <c r="A16" s="209" t="str">
        <f ca="1">IF(ISNA(VLOOKUP(D16,'Standard Smelter Names'!$B$3:$E$165,4,FALSE)),"",VLOOKUP(D16,'Standard Smelter Names'!$B$3:$E$165,4,FALSE))</f>
        <v>1DEU018</v>
      </c>
      <c r="B16" s="210" t="s">
        <v>1267</v>
      </c>
      <c r="C16" s="211" t="s">
        <v>860</v>
      </c>
      <c r="D16" s="211" t="str">
        <f t="shared" si="0"/>
        <v>Heraeus Precious Metals GmbH &amp; Co. KG</v>
      </c>
      <c r="E16" s="210" t="str">
        <f t="shared" si="1"/>
        <v>GERMANY</v>
      </c>
      <c r="F16" s="210"/>
      <c r="G16" s="210"/>
      <c r="H16" s="210"/>
      <c r="I16" s="224" t="s">
        <v>171</v>
      </c>
      <c r="J16" s="224" t="s">
        <v>172</v>
      </c>
      <c r="K16" s="210"/>
      <c r="L16" s="210"/>
      <c r="M16" s="210"/>
      <c r="N16" s="210"/>
      <c r="O16" s="196"/>
    </row>
    <row r="17" spans="1:15" s="212" customFormat="1" ht="15.75">
      <c r="A17" s="209" t="str">
        <f ca="1">IF(ISNA(VLOOKUP(D17,'Standard Smelter Names'!$B$3:$E$165,4,FALSE)),"",VLOOKUP(D17,'Standard Smelter Names'!$B$3:$E$165,4,FALSE))</f>
        <v>1JPN021</v>
      </c>
      <c r="B17" s="210" t="s">
        <v>1267</v>
      </c>
      <c r="C17" s="211" t="s">
        <v>589</v>
      </c>
      <c r="D17" s="211" t="str">
        <f t="shared" si="0"/>
        <v>Ishifuku Metal Industry Co., Ltd.</v>
      </c>
      <c r="E17" s="210" t="str">
        <f t="shared" si="1"/>
        <v>JAPAN</v>
      </c>
      <c r="F17" s="210"/>
      <c r="G17" s="210"/>
      <c r="H17" s="210"/>
      <c r="I17" s="210"/>
      <c r="J17" s="210"/>
      <c r="K17" s="210"/>
      <c r="L17" s="210"/>
      <c r="M17" s="210"/>
      <c r="N17" s="210"/>
      <c r="O17" s="196"/>
    </row>
    <row r="18" spans="1:15" s="212" customFormat="1" ht="15.75">
      <c r="A18" s="209" t="str">
        <f ca="1">IF(ISNA(VLOOKUP(D18,'Standard Smelter Names'!$B$3:$E$165,4,FALSE)),"",VLOOKUP(D18,'Standard Smelter Names'!$B$3:$E$165,4,FALSE))</f>
        <v/>
      </c>
      <c r="B18" s="210" t="s">
        <v>1267</v>
      </c>
      <c r="C18" s="211" t="s">
        <v>569</v>
      </c>
      <c r="D18" s="223" t="s">
        <v>173</v>
      </c>
      <c r="E18" s="210" t="s">
        <v>2313</v>
      </c>
      <c r="F18" s="210"/>
      <c r="G18" s="210"/>
      <c r="H18" s="210"/>
      <c r="I18" s="210"/>
      <c r="J18" s="210"/>
      <c r="K18" s="210"/>
      <c r="L18" s="210"/>
      <c r="M18" s="210"/>
      <c r="N18" s="210"/>
      <c r="O18" s="196"/>
    </row>
    <row r="19" spans="1:15" s="212" customFormat="1" ht="15.75">
      <c r="A19" s="209" t="str">
        <f ca="1">IF(ISNA(VLOOKUP(D19,'Standard Smelter Names'!$B$3:$E$165,4,FALSE)),"",VLOOKUP(D19,'Standard Smelter Names'!$B$3:$E$165,4,FALSE))</f>
        <v>1USA025</v>
      </c>
      <c r="B19" s="210" t="s">
        <v>1267</v>
      </c>
      <c r="C19" s="211" t="s">
        <v>867</v>
      </c>
      <c r="D19" s="211" t="str">
        <f t="shared" si="0"/>
        <v>Johnson Matthey Inc</v>
      </c>
      <c r="E19" s="210" t="str">
        <f t="shared" si="1"/>
        <v>UNITED STATES</v>
      </c>
      <c r="F19" s="210"/>
      <c r="G19" s="210"/>
      <c r="H19" s="210"/>
      <c r="I19" s="210"/>
      <c r="J19" s="210"/>
      <c r="K19" s="210"/>
      <c r="L19" s="210"/>
      <c r="M19" s="210"/>
      <c r="N19" s="210"/>
      <c r="O19" s="196"/>
    </row>
    <row r="20" spans="1:15" s="212" customFormat="1" ht="15.75">
      <c r="A20" s="209" t="str">
        <f ca="1">IF(ISNA(VLOOKUP(D20,'Standard Smelter Names'!$B$3:$E$165,4,FALSE)),"",VLOOKUP(D20,'Standard Smelter Names'!$B$3:$E$165,4,FALSE))</f>
        <v>1CAN024</v>
      </c>
      <c r="B20" s="210" t="s">
        <v>1267</v>
      </c>
      <c r="C20" s="211" t="s">
        <v>865</v>
      </c>
      <c r="D20" s="211" t="str">
        <f t="shared" si="0"/>
        <v>Johnson Matthey Limited</v>
      </c>
      <c r="E20" s="210" t="str">
        <f t="shared" si="1"/>
        <v>CANADA</v>
      </c>
      <c r="F20" s="210"/>
      <c r="G20" s="210"/>
      <c r="H20" s="210"/>
      <c r="I20" s="210"/>
      <c r="J20" s="210"/>
      <c r="K20" s="210"/>
      <c r="L20" s="210"/>
      <c r="M20" s="210"/>
      <c r="N20" s="210"/>
      <c r="O20" s="196"/>
    </row>
    <row r="21" spans="1:15" s="212" customFormat="1" ht="15.75">
      <c r="A21" s="209" t="str">
        <f ca="1">IF(ISNA(VLOOKUP(D21,'Standard Smelter Names'!$B$3:$E$165,4,FALSE)),"",VLOOKUP(D21,'Standard Smelter Names'!$B$3:$E$165,4,FALSE))</f>
        <v>1JPN028</v>
      </c>
      <c r="B21" s="210" t="s">
        <v>1267</v>
      </c>
      <c r="C21" s="211" t="s">
        <v>870</v>
      </c>
      <c r="D21" s="211" t="str">
        <f t="shared" si="0"/>
        <v>JX Nippon Mining &amp; Metals Co., Ltd</v>
      </c>
      <c r="E21" s="210" t="str">
        <f t="shared" si="1"/>
        <v>JAPAN</v>
      </c>
      <c r="F21" s="210"/>
      <c r="G21" s="210"/>
      <c r="H21" s="210"/>
      <c r="I21" s="210"/>
      <c r="J21" s="210"/>
      <c r="K21" s="210"/>
      <c r="L21" s="210"/>
      <c r="M21" s="210"/>
      <c r="N21" s="210"/>
      <c r="O21" s="196"/>
    </row>
    <row r="22" spans="1:15" s="212" customFormat="1" ht="15.75">
      <c r="A22" s="209" t="str">
        <f ca="1">IF(ISNA(VLOOKUP(D22,'Standard Smelter Names'!$B$3:$E$165,4,FALSE)),"",VLOOKUP(D22,'Standard Smelter Names'!$B$3:$E$165,4,FALSE))</f>
        <v/>
      </c>
      <c r="B22" s="210" t="s">
        <v>1267</v>
      </c>
      <c r="C22" s="211" t="s">
        <v>569</v>
      </c>
      <c r="D22" s="223" t="s">
        <v>174</v>
      </c>
      <c r="E22" s="210" t="s">
        <v>2245</v>
      </c>
      <c r="F22" s="210"/>
      <c r="G22" s="210"/>
      <c r="H22" s="210"/>
      <c r="I22" s="210"/>
      <c r="J22" s="210"/>
      <c r="K22" s="210"/>
      <c r="L22" s="210"/>
      <c r="M22" s="210"/>
      <c r="N22" s="210"/>
      <c r="O22" s="196"/>
    </row>
    <row r="23" spans="1:15" s="212" customFormat="1" ht="15.75">
      <c r="A23" s="209" t="str">
        <f ca="1">IF(ISNA(VLOOKUP(D23,'Standard Smelter Names'!$B$3:$E$165,4,FALSE)),"",VLOOKUP(D23,'Standard Smelter Names'!$B$3:$E$165,4,FALSE))</f>
        <v/>
      </c>
      <c r="B23" s="210" t="s">
        <v>1267</v>
      </c>
      <c r="C23" s="211" t="s">
        <v>45</v>
      </c>
      <c r="D23" s="223" t="s">
        <v>175</v>
      </c>
      <c r="E23" s="210" t="s">
        <v>2313</v>
      </c>
      <c r="F23" s="210"/>
      <c r="G23" s="210"/>
      <c r="H23" s="210"/>
      <c r="I23" s="210"/>
      <c r="J23" s="210"/>
      <c r="K23" s="210"/>
      <c r="L23" s="210"/>
      <c r="M23" s="210"/>
      <c r="N23" s="210"/>
      <c r="O23" s="196"/>
    </row>
    <row r="24" spans="1:15" s="212" customFormat="1" ht="15.75">
      <c r="A24" s="209" t="str">
        <f ca="1">IF(ISNA(VLOOKUP(D24,'Standard Smelter Names'!$B$3:$E$165,4,FALSE)),"",VLOOKUP(D24,'Standard Smelter Names'!$B$3:$E$165,4,FALSE))</f>
        <v>1KOR032</v>
      </c>
      <c r="B24" s="210" t="s">
        <v>1267</v>
      </c>
      <c r="C24" s="211" t="s">
        <v>597</v>
      </c>
      <c r="D24" s="211" t="str">
        <f t="shared" si="0"/>
        <v>LS-Nikko Copper Inc</v>
      </c>
      <c r="E24" s="210" t="str">
        <f t="shared" si="1"/>
        <v>KOREA, REPUBLIC OF</v>
      </c>
      <c r="F24" s="210"/>
      <c r="G24" s="210"/>
      <c r="H24" s="210"/>
      <c r="I24" s="224" t="s">
        <v>176</v>
      </c>
      <c r="J24" s="224" t="s">
        <v>177</v>
      </c>
      <c r="K24" s="224"/>
      <c r="L24" s="224"/>
      <c r="M24" s="224" t="s">
        <v>178</v>
      </c>
      <c r="N24" s="210"/>
      <c r="O24" s="196"/>
    </row>
    <row r="25" spans="1:15" s="212" customFormat="1" ht="15.75">
      <c r="A25" s="209" t="str">
        <f ca="1">IF(ISNA(VLOOKUP(D25,'Standard Smelter Names'!$B$3:$E$165,4,FALSE)),"",VLOOKUP(D25,'Standard Smelter Names'!$B$3:$E$165,4,FALSE))</f>
        <v>1JPN034</v>
      </c>
      <c r="B25" s="210" t="s">
        <v>1267</v>
      </c>
      <c r="C25" s="211" t="s">
        <v>599</v>
      </c>
      <c r="D25" s="211" t="str">
        <f t="shared" si="0"/>
        <v>Matsuda Sangyo Co. Ltd</v>
      </c>
      <c r="E25" s="210" t="str">
        <f t="shared" si="1"/>
        <v>JAPAN</v>
      </c>
      <c r="F25" s="210"/>
      <c r="G25" s="210"/>
      <c r="H25" s="210"/>
      <c r="I25" s="224" t="s">
        <v>179</v>
      </c>
      <c r="J25" s="224" t="s">
        <v>180</v>
      </c>
      <c r="K25" s="210"/>
      <c r="L25" s="210"/>
      <c r="M25" s="210"/>
      <c r="N25" s="210"/>
      <c r="O25" s="196"/>
    </row>
    <row r="26" spans="1:15" s="212" customFormat="1" ht="31.5">
      <c r="A26" s="209" t="str">
        <f ca="1">IF(ISNA(VLOOKUP(D26,'Standard Smelter Names'!$B$3:$E$165,4,FALSE)),"",VLOOKUP(D26,'Standard Smelter Names'!$B$3:$E$165,4,FALSE))</f>
        <v>1HKG036</v>
      </c>
      <c r="B26" s="210" t="s">
        <v>1267</v>
      </c>
      <c r="C26" s="211" t="s">
        <v>601</v>
      </c>
      <c r="D26" s="211" t="str">
        <f t="shared" si="0"/>
        <v>Metalor Technologies (Hong Kong) Ltd</v>
      </c>
      <c r="E26" s="210" t="str">
        <f t="shared" si="1"/>
        <v>HONG KONG</v>
      </c>
      <c r="F26" s="210"/>
      <c r="G26" s="210"/>
      <c r="H26" s="210"/>
      <c r="I26" s="224" t="s">
        <v>181</v>
      </c>
      <c r="J26" s="224" t="s">
        <v>182</v>
      </c>
      <c r="K26" s="210"/>
      <c r="L26" s="210"/>
      <c r="M26" s="210"/>
      <c r="N26" s="210"/>
      <c r="O26" s="196"/>
    </row>
    <row r="27" spans="1:15" s="212" customFormat="1" ht="31.5">
      <c r="A27" s="209" t="str">
        <f ca="1">IF(ISNA(VLOOKUP(D27,'Standard Smelter Names'!$B$3:$E$165,4,FALSE)),"",VLOOKUP(D27,'Standard Smelter Names'!$B$3:$E$165,4,FALSE))</f>
        <v>1CHE035</v>
      </c>
      <c r="B27" s="210" t="s">
        <v>1267</v>
      </c>
      <c r="C27" s="211" t="s">
        <v>600</v>
      </c>
      <c r="D27" s="211" t="str">
        <f t="shared" si="0"/>
        <v>Metalor Technologies SA</v>
      </c>
      <c r="E27" s="210" t="str">
        <f t="shared" si="1"/>
        <v>SWITZERLAND</v>
      </c>
      <c r="F27" s="210"/>
      <c r="G27" s="210"/>
      <c r="H27" s="210"/>
      <c r="I27" s="224" t="s">
        <v>181</v>
      </c>
      <c r="J27" s="224" t="s">
        <v>182</v>
      </c>
      <c r="K27" s="210"/>
      <c r="L27" s="210"/>
      <c r="M27" s="210"/>
      <c r="N27" s="210"/>
      <c r="O27" s="196"/>
    </row>
    <row r="28" spans="1:15" s="212" customFormat="1" ht="15.75">
      <c r="A28" s="209" t="str">
        <f ca="1">IF(ISNA(VLOOKUP(D28,'Standard Smelter Names'!$B$3:$E$165,4,FALSE)),"",VLOOKUP(D28,'Standard Smelter Names'!$B$3:$E$165,4,FALSE))</f>
        <v>1USA037</v>
      </c>
      <c r="B28" s="210" t="s">
        <v>1267</v>
      </c>
      <c r="C28" s="211" t="s">
        <v>602</v>
      </c>
      <c r="D28" s="211" t="str">
        <f t="shared" si="0"/>
        <v>Metalor USA Refining Corporation</v>
      </c>
      <c r="E28" s="210" t="str">
        <f t="shared" si="1"/>
        <v>UNITED STATES</v>
      </c>
      <c r="F28" s="210"/>
      <c r="G28" s="210"/>
      <c r="H28" s="210"/>
      <c r="I28" s="210"/>
      <c r="J28" s="210"/>
      <c r="K28" s="210"/>
      <c r="L28" s="210"/>
      <c r="M28" s="210" t="s">
        <v>183</v>
      </c>
      <c r="N28" s="210"/>
      <c r="O28" s="196"/>
    </row>
    <row r="29" spans="1:15" s="212" customFormat="1" ht="15.75">
      <c r="A29" s="209" t="str">
        <f ca="1">IF(ISNA(VLOOKUP(D29,'Standard Smelter Names'!$B$3:$E$165,4,FALSE)),"",VLOOKUP(D29,'Standard Smelter Names'!$B$3:$E$165,4,FALSE))</f>
        <v>1JPN039</v>
      </c>
      <c r="B29" s="210" t="s">
        <v>1267</v>
      </c>
      <c r="C29" s="211" t="s">
        <v>39</v>
      </c>
      <c r="D29" s="211" t="str">
        <f t="shared" si="0"/>
        <v>Mitsubishi Materials Corporation</v>
      </c>
      <c r="E29" s="210" t="str">
        <f t="shared" si="1"/>
        <v>JAPAN</v>
      </c>
      <c r="F29" s="210"/>
      <c r="G29" s="210"/>
      <c r="H29" s="210"/>
      <c r="I29" s="224" t="s">
        <v>184</v>
      </c>
      <c r="J29" s="224" t="s">
        <v>185</v>
      </c>
      <c r="K29" s="210"/>
      <c r="L29" s="210"/>
      <c r="M29" s="210"/>
      <c r="N29" s="210"/>
      <c r="O29" s="196"/>
    </row>
    <row r="30" spans="1:15" s="212" customFormat="1" ht="31.5">
      <c r="A30" s="209" t="str">
        <f ca="1">IF(ISNA(VLOOKUP(D30,'Standard Smelter Names'!$B$3:$E$165,4,FALSE)),"",VLOOKUP(D30,'Standard Smelter Names'!$B$3:$E$165,4,FALSE))</f>
        <v>1JPN040</v>
      </c>
      <c r="B30" s="210" t="s">
        <v>1267</v>
      </c>
      <c r="C30" s="211" t="s">
        <v>604</v>
      </c>
      <c r="D30" s="211" t="str">
        <f t="shared" si="0"/>
        <v>Mitsui Mining and Smelting Co., Ltd.</v>
      </c>
      <c r="E30" s="210" t="str">
        <f t="shared" si="1"/>
        <v>JAPAN</v>
      </c>
      <c r="F30" s="210"/>
      <c r="G30" s="210"/>
      <c r="H30" s="210"/>
      <c r="I30" s="224" t="s">
        <v>186</v>
      </c>
      <c r="J30" s="224" t="s">
        <v>187</v>
      </c>
      <c r="K30" s="210"/>
      <c r="L30" s="210"/>
      <c r="M30" s="210"/>
      <c r="N30" s="210"/>
      <c r="O30" s="196"/>
    </row>
    <row r="31" spans="1:15" s="212" customFormat="1" ht="15.75">
      <c r="A31" s="209" t="str">
        <f ca="1">IF(ISNA(VLOOKUP(D31,'Standard Smelter Names'!$B$3:$E$165,4,FALSE)),"",VLOOKUP(D31,'Standard Smelter Names'!$B$3:$E$165,4,FALSE))</f>
        <v>1UZB042</v>
      </c>
      <c r="B31" s="210" t="s">
        <v>1267</v>
      </c>
      <c r="C31" s="211" t="s">
        <v>605</v>
      </c>
      <c r="D31" s="211" t="str">
        <f t="shared" si="0"/>
        <v>Navoi Mining and Metallurgical Combinat</v>
      </c>
      <c r="E31" s="210" t="str">
        <f t="shared" si="1"/>
        <v>UZBEKISTAN</v>
      </c>
      <c r="F31" s="210"/>
      <c r="G31" s="210"/>
      <c r="H31" s="210"/>
      <c r="I31" s="210"/>
      <c r="J31" s="210"/>
      <c r="K31" s="210"/>
      <c r="L31" s="210"/>
      <c r="M31" s="210"/>
      <c r="N31" s="210"/>
      <c r="O31" s="196"/>
    </row>
    <row r="32" spans="1:15" s="212" customFormat="1" ht="15.75">
      <c r="A32" s="209" t="str">
        <f ca="1">IF(ISNA(VLOOKUP(D32,'Standard Smelter Names'!$B$3:$E$165,4,FALSE)),"",VLOOKUP(D32,'Standard Smelter Names'!$B$3:$E$165,4,FALSE))</f>
        <v>1CAN050</v>
      </c>
      <c r="B32" s="210" t="s">
        <v>1267</v>
      </c>
      <c r="C32" s="211" t="s">
        <v>2520</v>
      </c>
      <c r="D32" s="211" t="str">
        <f t="shared" si="0"/>
        <v>Royal Canadian Mint</v>
      </c>
      <c r="E32" s="210" t="str">
        <f t="shared" si="1"/>
        <v>CANADA</v>
      </c>
      <c r="F32" s="210"/>
      <c r="G32" s="210"/>
      <c r="H32" s="210"/>
      <c r="I32" s="224" t="s">
        <v>188</v>
      </c>
      <c r="J32" s="224" t="s">
        <v>189</v>
      </c>
      <c r="K32" s="224"/>
      <c r="L32" s="224"/>
      <c r="M32" s="224" t="s">
        <v>190</v>
      </c>
      <c r="N32" s="210"/>
      <c r="O32" s="196"/>
    </row>
    <row r="33" spans="1:15" s="212" customFormat="1" ht="15.75">
      <c r="A33" s="209" t="str">
        <f ca="1">IF(ISNA(VLOOKUP(D33,'Standard Smelter Names'!$B$3:$E$165,4,FALSE)),"",VLOOKUP(D33,'Standard Smelter Names'!$B$3:$E$165,4,FALSE))</f>
        <v>1CHN054</v>
      </c>
      <c r="B33" s="210" t="s">
        <v>1267</v>
      </c>
      <c r="C33" s="211" t="s">
        <v>616</v>
      </c>
      <c r="D33" s="211" t="str">
        <f t="shared" si="0"/>
        <v>Shandong Zhaojin Gold &amp; Silver Refinery Co.,  Ltd</v>
      </c>
      <c r="E33" s="210" t="str">
        <f t="shared" si="1"/>
        <v>CHINA</v>
      </c>
      <c r="F33" s="210"/>
      <c r="G33" s="210"/>
      <c r="H33" s="210"/>
      <c r="I33" s="210"/>
      <c r="J33" s="210"/>
      <c r="K33" s="210"/>
      <c r="L33" s="210"/>
      <c r="M33" s="210"/>
      <c r="N33" s="210"/>
      <c r="O33" s="196"/>
    </row>
    <row r="34" spans="1:15" s="212" customFormat="1" ht="15.75">
      <c r="A34" s="209" t="str">
        <f ca="1">IF(ISNA(VLOOKUP(D34,'Standard Smelter Names'!$B$3:$E$165,4,FALSE)),"",VLOOKUP(D34,'Standard Smelter Names'!$B$3:$E$165,4,FALSE))</f>
        <v>1TWN056</v>
      </c>
      <c r="B34" s="210" t="s">
        <v>1267</v>
      </c>
      <c r="C34" s="211" t="s">
        <v>2524</v>
      </c>
      <c r="D34" s="211" t="str">
        <f t="shared" si="0"/>
        <v>Solar Applied Materials Technology Corp.</v>
      </c>
      <c r="E34" s="210" t="str">
        <f t="shared" si="1"/>
        <v>TAIWAN</v>
      </c>
      <c r="F34" s="210"/>
      <c r="G34" s="210"/>
      <c r="H34" s="210"/>
      <c r="I34" s="210"/>
      <c r="J34" s="210"/>
      <c r="K34" s="210"/>
      <c r="L34" s="210"/>
      <c r="M34" s="210"/>
      <c r="N34" s="210"/>
      <c r="O34" s="196"/>
    </row>
    <row r="35" spans="1:15" s="212" customFormat="1" ht="15.75">
      <c r="A35" s="209" t="str">
        <f ca="1">IF(ISNA(VLOOKUP(D35,'Standard Smelter Names'!$B$3:$E$165,4,FALSE)),"",VLOOKUP(D35,'Standard Smelter Names'!$B$3:$E$165,4,FALSE))</f>
        <v>1JPN057</v>
      </c>
      <c r="B35" s="210" t="s">
        <v>1267</v>
      </c>
      <c r="C35" s="211" t="s">
        <v>619</v>
      </c>
      <c r="D35" s="211" t="str">
        <f t="shared" si="0"/>
        <v>Sumitomo Metal Mining Co., Ltd.</v>
      </c>
      <c r="E35" s="210" t="str">
        <f t="shared" si="1"/>
        <v>JAPAN</v>
      </c>
      <c r="F35" s="210"/>
      <c r="G35" s="210"/>
      <c r="H35" s="210"/>
      <c r="I35" s="224" t="s">
        <v>191</v>
      </c>
      <c r="J35" s="224" t="s">
        <v>192</v>
      </c>
      <c r="K35" s="224"/>
      <c r="L35" s="224"/>
      <c r="M35" s="224" t="s">
        <v>87</v>
      </c>
      <c r="N35" s="210"/>
      <c r="O35" s="196"/>
    </row>
    <row r="36" spans="1:15" s="212" customFormat="1" ht="15.75">
      <c r="A36" s="209" t="str">
        <f ca="1">IF(ISNA(VLOOKUP(D36,'Standard Smelter Names'!$B$3:$E$165,4,FALSE)),"",VLOOKUP(D36,'Standard Smelter Names'!$B$3:$E$165,4,FALSE))</f>
        <v>1JPN058</v>
      </c>
      <c r="B36" s="210" t="s">
        <v>1267</v>
      </c>
      <c r="C36" s="211" t="s">
        <v>886</v>
      </c>
      <c r="D36" s="211" t="str">
        <f t="shared" si="0"/>
        <v>Tanaka Kikinzoku Kogyo K.K.</v>
      </c>
      <c r="E36" s="210" t="str">
        <f t="shared" si="1"/>
        <v>JAPAN</v>
      </c>
      <c r="F36" s="210"/>
      <c r="G36" s="210"/>
      <c r="H36" s="210"/>
      <c r="I36" s="224" t="s">
        <v>193</v>
      </c>
      <c r="J36" s="224" t="s">
        <v>194</v>
      </c>
      <c r="K36" s="224"/>
      <c r="L36" s="224"/>
      <c r="M36" s="224"/>
      <c r="N36" s="210"/>
      <c r="O36" s="196"/>
    </row>
    <row r="37" spans="1:15" s="212" customFormat="1" ht="15.75">
      <c r="A37" s="209" t="str">
        <f ca="1">IF(ISNA(VLOOKUP(D37,'Standard Smelter Names'!$B$3:$E$165,4,FALSE)),"",VLOOKUP(D37,'Standard Smelter Names'!$B$3:$E$165,4,FALSE))</f>
        <v>1CHN053</v>
      </c>
      <c r="B37" s="210" t="s">
        <v>1267</v>
      </c>
      <c r="C37" s="211" t="s">
        <v>877</v>
      </c>
      <c r="D37" s="211" t="str">
        <f t="shared" si="0"/>
        <v>The Refinery of Shandong Gold Mining Co., Ltd</v>
      </c>
      <c r="E37" s="210" t="str">
        <f t="shared" si="1"/>
        <v>CHINA</v>
      </c>
      <c r="F37" s="210"/>
      <c r="G37" s="210"/>
      <c r="H37" s="210"/>
      <c r="I37" s="210"/>
      <c r="J37" s="210"/>
      <c r="K37" s="210"/>
      <c r="L37" s="210"/>
      <c r="M37" s="210"/>
      <c r="N37" s="210"/>
      <c r="O37" s="196"/>
    </row>
    <row r="38" spans="1:15" s="212" customFormat="1" ht="15.75">
      <c r="A38" s="209" t="str">
        <f ca="1">IF(ISNA(VLOOKUP(D38,'Standard Smelter Names'!$B$3:$E$165,4,FALSE)),"",VLOOKUP(D38,'Standard Smelter Names'!$B$3:$E$165,4,FALSE))</f>
        <v>1JPN060</v>
      </c>
      <c r="B38" s="210" t="s">
        <v>1267</v>
      </c>
      <c r="C38" s="211" t="s">
        <v>624</v>
      </c>
      <c r="D38" s="211" t="str">
        <f t="shared" si="0"/>
        <v>Tokuriki Honten Co., Ltd</v>
      </c>
      <c r="E38" s="210" t="str">
        <f t="shared" si="1"/>
        <v>JAPAN</v>
      </c>
      <c r="F38" s="210"/>
      <c r="G38" s="210"/>
      <c r="H38" s="210"/>
      <c r="I38" s="210"/>
      <c r="J38" s="210"/>
      <c r="K38" s="210"/>
      <c r="L38" s="210"/>
      <c r="M38" s="210"/>
      <c r="N38" s="210"/>
      <c r="O38" s="196"/>
    </row>
    <row r="39" spans="1:15" s="212" customFormat="1" ht="31.5">
      <c r="A39" s="209" t="str">
        <f ca="1">IF(ISNA(VLOOKUP(D39,'Standard Smelter Names'!$B$3:$E$165,4,FALSE)),"",VLOOKUP(D39,'Standard Smelter Names'!$B$3:$E$165,4,FALSE))</f>
        <v>1AUS046</v>
      </c>
      <c r="B39" s="210" t="s">
        <v>1267</v>
      </c>
      <c r="C39" s="211" t="s">
        <v>2517</v>
      </c>
      <c r="D39" s="211" t="str">
        <f t="shared" si="0"/>
        <v>Western Australian Mint trading as The Perth Mint</v>
      </c>
      <c r="E39" s="210" t="str">
        <f t="shared" si="1"/>
        <v>AUSTRALIA</v>
      </c>
      <c r="F39" s="210"/>
      <c r="G39" s="210"/>
      <c r="H39" s="210"/>
      <c r="I39" s="224" t="s">
        <v>195</v>
      </c>
      <c r="J39" s="224" t="s">
        <v>196</v>
      </c>
      <c r="K39" s="224"/>
      <c r="L39" s="224"/>
      <c r="M39" s="224" t="s">
        <v>197</v>
      </c>
      <c r="N39" s="210"/>
      <c r="O39" s="196"/>
    </row>
    <row r="40" spans="1:15" s="212" customFormat="1" ht="15.75">
      <c r="A40" s="209" t="str">
        <f ca="1">IF(ISNA(VLOOKUP(D40,'Standard Smelter Names'!$B$3:$E$165,4,FALSE)),"",VLOOKUP(D40,'Standard Smelter Names'!$B$3:$E$165,4,FALSE))</f>
        <v>1CAN064</v>
      </c>
      <c r="B40" s="210" t="s">
        <v>1267</v>
      </c>
      <c r="C40" s="211" t="s">
        <v>629</v>
      </c>
      <c r="D40" s="211" t="str">
        <f t="shared" si="0"/>
        <v>Xstrata Canada Corporation</v>
      </c>
      <c r="E40" s="210" t="str">
        <f t="shared" si="1"/>
        <v>CANADA</v>
      </c>
      <c r="F40" s="210"/>
      <c r="G40" s="210"/>
      <c r="H40" s="210"/>
      <c r="I40" s="210"/>
      <c r="J40" s="210"/>
      <c r="K40" s="210"/>
      <c r="L40" s="210"/>
      <c r="M40" s="210"/>
      <c r="N40" s="210"/>
      <c r="O40" s="196"/>
    </row>
    <row r="41" spans="1:15" s="212" customFormat="1" ht="15.75">
      <c r="A41" s="209" t="str">
        <f ca="1">IF(ISNA(VLOOKUP(D41,'Standard Smelter Names'!$B$3:$E$165,4,FALSE)),"",VLOOKUP(D41,'Standard Smelter Names'!$B$3:$E$165,4,FALSE))</f>
        <v/>
      </c>
      <c r="B41" s="210" t="s">
        <v>1267</v>
      </c>
      <c r="C41" s="211" t="s">
        <v>48</v>
      </c>
      <c r="D41" s="223" t="s">
        <v>198</v>
      </c>
      <c r="E41" s="210" t="s">
        <v>2313</v>
      </c>
      <c r="F41" s="210"/>
      <c r="G41" s="210"/>
      <c r="H41" s="210"/>
      <c r="I41" s="210"/>
      <c r="J41" s="210"/>
      <c r="K41" s="210"/>
      <c r="L41" s="210"/>
      <c r="M41" s="210"/>
      <c r="N41" s="210"/>
      <c r="O41" s="196"/>
    </row>
    <row r="42" spans="1:15" s="212" customFormat="1" ht="31.5">
      <c r="A42" s="209" t="str">
        <f ca="1">IF(ISNA(VLOOKUP(D42,'Standard Smelter Names'!$B$3:$E$165,4,FALSE)),"",VLOOKUP(D42,'Standard Smelter Names'!$B$3:$E$165,4,FALSE))</f>
        <v>1CHN065</v>
      </c>
      <c r="B42" s="210" t="s">
        <v>1267</v>
      </c>
      <c r="C42" s="211" t="s">
        <v>631</v>
      </c>
      <c r="D42" s="211" t="str">
        <f t="shared" si="0"/>
        <v xml:space="preserve">Zhongyuan Gold Smelter of Zhongjin Gold Corporation </v>
      </c>
      <c r="E42" s="210" t="str">
        <f t="shared" si="1"/>
        <v>CHINA</v>
      </c>
      <c r="F42" s="210"/>
      <c r="G42" s="210"/>
      <c r="H42" s="210"/>
      <c r="I42" s="224" t="s">
        <v>199</v>
      </c>
      <c r="J42" s="224" t="s">
        <v>200</v>
      </c>
      <c r="K42" s="224"/>
      <c r="L42" s="224"/>
      <c r="M42" s="224" t="s">
        <v>201</v>
      </c>
      <c r="N42" s="210"/>
      <c r="O42" s="196"/>
    </row>
    <row r="43" spans="1:15" s="212" customFormat="1" ht="15.75">
      <c r="A43" s="209" t="str">
        <f ca="1">IF(ISNA(VLOOKUP(D43,'Standard Smelter Names'!$B$3:$E$165,4,FALSE)),"",VLOOKUP(D43,'Standard Smelter Names'!$B$3:$E$165,4,FALSE))</f>
        <v>3USA002</v>
      </c>
      <c r="B43" s="210" t="s">
        <v>1269</v>
      </c>
      <c r="C43" s="211" t="s">
        <v>452</v>
      </c>
      <c r="D43" s="211" t="str">
        <f t="shared" si="0"/>
        <v>Exotech Inc.</v>
      </c>
      <c r="E43" s="210" t="str">
        <f t="shared" si="1"/>
        <v>UNITED STATES</v>
      </c>
      <c r="F43" s="210"/>
      <c r="G43" s="210"/>
      <c r="H43" s="210"/>
      <c r="I43" s="224" t="s">
        <v>202</v>
      </c>
      <c r="J43" s="224" t="s">
        <v>203</v>
      </c>
      <c r="K43" s="210"/>
      <c r="L43" s="210"/>
      <c r="M43" s="210"/>
      <c r="N43" s="210"/>
      <c r="O43" s="196"/>
    </row>
    <row r="44" spans="1:15" s="212" customFormat="1" ht="15.75">
      <c r="A44" s="209" t="str">
        <f ca="1">IF(ISNA(VLOOKUP(D44,'Standard Smelter Names'!$B$3:$E$165,4,FALSE)),"",VLOOKUP(D44,'Standard Smelter Names'!$B$3:$E$165,4,FALSE))</f>
        <v>3CHN003</v>
      </c>
      <c r="B44" s="210" t="s">
        <v>1269</v>
      </c>
      <c r="C44" s="211" t="s">
        <v>2618</v>
      </c>
      <c r="D44" s="211" t="str">
        <f t="shared" si="0"/>
        <v>F&amp;X</v>
      </c>
      <c r="E44" s="210" t="str">
        <f t="shared" si="1"/>
        <v>CHINA</v>
      </c>
      <c r="F44" s="210"/>
      <c r="G44" s="210"/>
      <c r="H44" s="210"/>
      <c r="I44" s="210"/>
      <c r="J44" s="210"/>
      <c r="K44" s="210"/>
      <c r="L44" s="210"/>
      <c r="M44" s="210"/>
      <c r="N44" s="210"/>
      <c r="O44" s="196"/>
    </row>
    <row r="45" spans="1:15" s="212" customFormat="1" ht="15.75">
      <c r="A45" s="209" t="str">
        <f ca="1">IF(ISNA(VLOOKUP(D45,'Standard Smelter Names'!$B$3:$E$165,4,FALSE)),"",VLOOKUP(D45,'Standard Smelter Names'!$B$3:$E$165,4,FALSE))</f>
        <v>3USA004</v>
      </c>
      <c r="B45" s="210" t="s">
        <v>1269</v>
      </c>
      <c r="C45" s="211" t="s">
        <v>2467</v>
      </c>
      <c r="D45" s="211" t="str">
        <f t="shared" si="0"/>
        <v>Gannon &amp; Scott</v>
      </c>
      <c r="E45" s="210" t="str">
        <f t="shared" si="1"/>
        <v>UNITED STATES</v>
      </c>
      <c r="F45" s="210"/>
      <c r="G45" s="210"/>
      <c r="H45" s="210"/>
      <c r="I45" s="210"/>
      <c r="J45" s="210"/>
      <c r="K45" s="210"/>
      <c r="L45" s="210"/>
      <c r="M45" s="210"/>
      <c r="N45" s="210"/>
      <c r="O45" s="196"/>
    </row>
    <row r="46" spans="1:15" s="212" customFormat="1" ht="15.75">
      <c r="A46" s="209" t="str">
        <f ca="1">IF(ISNA(VLOOKUP(D46,'Standard Smelter Names'!$B$3:$E$165,4,FALSE)),"",VLOOKUP(D46,'Standard Smelter Names'!$B$3:$E$165,4,FALSE))</f>
        <v>3DEU006</v>
      </c>
      <c r="B46" s="210" t="s">
        <v>1269</v>
      </c>
      <c r="C46" s="211" t="s">
        <v>2468</v>
      </c>
      <c r="D46" s="211" t="str">
        <f t="shared" si="0"/>
        <v>H.C. Starck GmbH</v>
      </c>
      <c r="E46" s="210" t="str">
        <f t="shared" si="1"/>
        <v>GERMANY</v>
      </c>
      <c r="F46" s="210"/>
      <c r="G46" s="210"/>
      <c r="H46" s="210"/>
      <c r="I46" s="210"/>
      <c r="J46" s="210"/>
      <c r="K46" s="210"/>
      <c r="L46" s="210"/>
      <c r="M46" s="210"/>
      <c r="N46" s="210"/>
      <c r="O46" s="196"/>
    </row>
    <row r="47" spans="1:15" s="212" customFormat="1" ht="15.75">
      <c r="A47" s="209" t="str">
        <f ca="1">IF(ISNA(VLOOKUP(D47,'Standard Smelter Names'!$B$3:$E$165,4,FALSE)),"",VLOOKUP(D47,'Standard Smelter Names'!$B$3:$E$165,4,FALSE))</f>
        <v>3USA016</v>
      </c>
      <c r="B47" s="210" t="s">
        <v>1269</v>
      </c>
      <c r="C47" s="211" t="s">
        <v>458</v>
      </c>
      <c r="D47" s="211" t="str">
        <f t="shared" si="0"/>
        <v>Hi-Temp</v>
      </c>
      <c r="E47" s="210" t="str">
        <f t="shared" si="1"/>
        <v>UNITED STATES</v>
      </c>
      <c r="F47" s="210"/>
      <c r="G47" s="210"/>
      <c r="H47" s="210"/>
      <c r="I47" s="210"/>
      <c r="J47" s="210"/>
      <c r="K47" s="210"/>
      <c r="L47" s="210"/>
      <c r="M47" s="210"/>
      <c r="N47" s="210"/>
      <c r="O47" s="196"/>
    </row>
    <row r="48" spans="1:15" s="212" customFormat="1" ht="15.75">
      <c r="A48" s="209" t="str">
        <f ca="1">IF(ISNA(VLOOKUP(D48,'Standard Smelter Names'!$B$3:$E$165,4,FALSE)),"",VLOOKUP(D48,'Standard Smelter Names'!$B$3:$E$165,4,FALSE))</f>
        <v>3JPN008</v>
      </c>
      <c r="B48" s="210" t="s">
        <v>1269</v>
      </c>
      <c r="C48" s="211" t="s">
        <v>455</v>
      </c>
      <c r="D48" s="211" t="str">
        <f t="shared" si="0"/>
        <v>Mitsui Mining &amp; Smelting</v>
      </c>
      <c r="E48" s="210" t="str">
        <f t="shared" si="1"/>
        <v>JAPAN</v>
      </c>
      <c r="F48" s="210"/>
      <c r="G48" s="210"/>
      <c r="H48" s="210"/>
      <c r="I48" s="210"/>
      <c r="J48" s="210"/>
      <c r="K48" s="210"/>
      <c r="L48" s="210"/>
      <c r="M48" s="210"/>
      <c r="N48" s="210"/>
      <c r="O48" s="196"/>
    </row>
    <row r="49" spans="1:15" s="212" customFormat="1" ht="15.75">
      <c r="A49" s="209" t="str">
        <f ca="1">IF(ISNA(VLOOKUP(D49,'Standard Smelter Names'!$B$3:$E$165,4,FALSE)),"",VLOOKUP(D49,'Standard Smelter Names'!$B$3:$E$165,4,FALSE))</f>
        <v>3CHN009</v>
      </c>
      <c r="B49" s="210" t="s">
        <v>1269</v>
      </c>
      <c r="C49" s="211" t="s">
        <v>2609</v>
      </c>
      <c r="D49" s="211" t="str">
        <f t="shared" si="0"/>
        <v>Ningxia Orient Tantalum Industry Co., Ltd.</v>
      </c>
      <c r="E49" s="210" t="str">
        <f t="shared" si="1"/>
        <v>CHINA</v>
      </c>
      <c r="F49" s="210"/>
      <c r="G49" s="210"/>
      <c r="H49" s="210"/>
      <c r="I49" s="210"/>
      <c r="J49" s="210"/>
      <c r="K49" s="210"/>
      <c r="L49" s="210"/>
      <c r="M49" s="210"/>
      <c r="N49" s="210"/>
      <c r="O49" s="196"/>
    </row>
    <row r="50" spans="1:15" s="212" customFormat="1" ht="15.75">
      <c r="A50" s="209" t="str">
        <f ca="1">IF(ISNA(VLOOKUP(D50,'Standard Smelter Names'!$B$3:$E$165,4,FALSE)),"",VLOOKUP(D50,'Standard Smelter Names'!$B$3:$E$165,4,FALSE))</f>
        <v>3AUT011</v>
      </c>
      <c r="B50" s="210" t="s">
        <v>1269</v>
      </c>
      <c r="C50" s="211" t="s">
        <v>1814</v>
      </c>
      <c r="D50" s="211" t="str">
        <f t="shared" si="0"/>
        <v>Plansee</v>
      </c>
      <c r="E50" s="210" t="str">
        <f t="shared" si="1"/>
        <v>AUSTRIA</v>
      </c>
      <c r="F50" s="210"/>
      <c r="G50" s="210"/>
      <c r="H50" s="210"/>
      <c r="I50" s="210"/>
      <c r="J50" s="210"/>
      <c r="K50" s="210"/>
      <c r="L50" s="210"/>
      <c r="M50" s="210"/>
      <c r="N50" s="210"/>
      <c r="O50" s="196"/>
    </row>
    <row r="51" spans="1:15" s="212" customFormat="1" ht="15.75">
      <c r="A51" s="209" t="str">
        <f ca="1">IF(ISNA(VLOOKUP(D51,'Standard Smelter Names'!$B$3:$E$165,4,FALSE)),"",VLOOKUP(D51,'Standard Smelter Names'!$B$3:$E$165,4,FALSE))</f>
        <v>3CHN017</v>
      </c>
      <c r="B51" s="210" t="s">
        <v>1269</v>
      </c>
      <c r="C51" s="211" t="s">
        <v>460</v>
      </c>
      <c r="D51" s="211" t="str">
        <f t="shared" si="0"/>
        <v>RFH</v>
      </c>
      <c r="E51" s="210" t="str">
        <f t="shared" si="1"/>
        <v>CHINA</v>
      </c>
      <c r="F51" s="210"/>
      <c r="G51" s="210"/>
      <c r="H51" s="210"/>
      <c r="I51" s="210"/>
      <c r="J51" s="210"/>
      <c r="K51" s="210"/>
      <c r="L51" s="210"/>
      <c r="M51" s="210"/>
      <c r="N51" s="210"/>
      <c r="O51" s="196"/>
    </row>
    <row r="52" spans="1:15" s="212" customFormat="1" ht="15.75">
      <c r="A52" s="209" t="str">
        <f ca="1">IF(ISNA(VLOOKUP(D52,'Standard Smelter Names'!$B$3:$E$165,4,FALSE)),"",VLOOKUP(D52,'Standard Smelter Names'!$B$3:$E$165,4,FALSE))</f>
        <v>3RUS012</v>
      </c>
      <c r="B52" s="210" t="s">
        <v>1269</v>
      </c>
      <c r="C52" s="211" t="s">
        <v>456</v>
      </c>
      <c r="D52" s="211" t="str">
        <f t="shared" si="0"/>
        <v>Solikamsk Metal Works</v>
      </c>
      <c r="E52" s="210" t="str">
        <f t="shared" si="1"/>
        <v>RUSSIAN FEDERATION</v>
      </c>
      <c r="F52" s="210"/>
      <c r="G52" s="210"/>
      <c r="H52" s="210"/>
      <c r="I52" s="210"/>
      <c r="J52" s="210"/>
      <c r="K52" s="210"/>
      <c r="L52" s="210"/>
      <c r="M52" s="210"/>
      <c r="N52" s="210"/>
      <c r="O52" s="196"/>
    </row>
    <row r="53" spans="1:15" s="212" customFormat="1" ht="15.75">
      <c r="A53" s="209" t="str">
        <f ca="1">IF(ISNA(VLOOKUP(D53,'Standard Smelter Names'!$B$3:$E$165,4,FALSE)),"",VLOOKUP(D53,'Standard Smelter Names'!$B$3:$E$165,4,FALSE))</f>
        <v>3USA018</v>
      </c>
      <c r="B53" s="210" t="s">
        <v>1269</v>
      </c>
      <c r="C53" s="211" t="s">
        <v>465</v>
      </c>
      <c r="D53" s="211" t="str">
        <f t="shared" si="0"/>
        <v>Telex</v>
      </c>
      <c r="E53" s="210" t="str">
        <f t="shared" si="1"/>
        <v>UNITED STATES</v>
      </c>
      <c r="F53" s="210"/>
      <c r="G53" s="210"/>
      <c r="H53" s="210"/>
      <c r="I53" s="210"/>
      <c r="J53" s="210"/>
      <c r="K53" s="210"/>
      <c r="L53" s="210"/>
      <c r="M53" s="210"/>
      <c r="N53" s="210"/>
      <c r="O53" s="196"/>
    </row>
    <row r="54" spans="1:15" s="212" customFormat="1" ht="15.75">
      <c r="A54" s="209" t="str">
        <f ca="1">IF(ISNA(VLOOKUP(D54,'Standard Smelter Names'!$B$3:$E$165,4,FALSE)),"",VLOOKUP(D54,'Standard Smelter Names'!$B$3:$E$165,4,FALSE))</f>
        <v>3KAZ014</v>
      </c>
      <c r="B54" s="210" t="s">
        <v>1269</v>
      </c>
      <c r="C54" s="211" t="s">
        <v>2469</v>
      </c>
      <c r="D54" s="211" t="str">
        <f t="shared" si="0"/>
        <v>Ulba</v>
      </c>
      <c r="E54" s="210" t="str">
        <f t="shared" si="1"/>
        <v>KAZAKHSTAN</v>
      </c>
      <c r="F54" s="210"/>
      <c r="G54" s="210"/>
      <c r="H54" s="210"/>
      <c r="I54" s="210"/>
      <c r="J54" s="210"/>
      <c r="K54" s="210"/>
      <c r="L54" s="210"/>
      <c r="M54" s="210"/>
      <c r="N54" s="210"/>
      <c r="O54" s="196"/>
    </row>
    <row r="55" spans="1:15" s="212" customFormat="1" ht="15.75">
      <c r="A55" s="209" t="str">
        <f ca="1">IF(ISNA(VLOOKUP(D55,'Standard Smelter Names'!$B$3:$E$165,4,FALSE)),"",VLOOKUP(D55,'Standard Smelter Names'!$B$3:$E$165,4,FALSE))</f>
        <v>3CHN015</v>
      </c>
      <c r="B55" s="210" t="s">
        <v>1269</v>
      </c>
      <c r="C55" s="211" t="s">
        <v>2610</v>
      </c>
      <c r="D55" s="211" t="str">
        <f t="shared" si="0"/>
        <v>Zhuzhou Cement Carbide</v>
      </c>
      <c r="E55" s="210" t="str">
        <f t="shared" si="1"/>
        <v>CHINA</v>
      </c>
      <c r="F55" s="210"/>
      <c r="G55" s="210"/>
      <c r="H55" s="210"/>
      <c r="I55" s="210"/>
      <c r="J55" s="210"/>
      <c r="K55" s="210"/>
      <c r="L55" s="210"/>
      <c r="M55" s="210"/>
      <c r="N55" s="210"/>
      <c r="O55" s="196"/>
    </row>
    <row r="56" spans="1:15" s="212" customFormat="1" ht="15.75">
      <c r="A56" s="209" t="str">
        <f ca="1">IF(ISNA(VLOOKUP(D56,'Standard Smelter Names'!$B$3:$E$165,4,FALSE)),"",VLOOKUP(D56,'Standard Smelter Names'!$B$3:$E$165,4,FALSE))</f>
        <v/>
      </c>
      <c r="B56" s="210" t="s">
        <v>1268</v>
      </c>
      <c r="C56" s="211" t="s">
        <v>569</v>
      </c>
      <c r="D56" s="223" t="s">
        <v>204</v>
      </c>
      <c r="E56" s="210" t="s">
        <v>205</v>
      </c>
      <c r="F56" s="210"/>
      <c r="G56" s="210"/>
      <c r="H56" s="210"/>
      <c r="I56" s="224" t="s">
        <v>206</v>
      </c>
      <c r="J56" s="224" t="s">
        <v>207</v>
      </c>
      <c r="K56" s="210"/>
      <c r="L56" s="210"/>
      <c r="M56" s="210"/>
      <c r="N56" s="210"/>
      <c r="O56" s="196"/>
    </row>
    <row r="57" spans="1:15" s="212" customFormat="1" ht="15.75">
      <c r="A57" s="209" t="str">
        <f ca="1">IF(ISNA(VLOOKUP(D57,'Standard Smelter Names'!$B$3:$E$165,4,FALSE)),"",VLOOKUP(D57,'Standard Smelter Names'!$B$3:$E$165,4,FALSE))</f>
        <v/>
      </c>
      <c r="B57" s="210" t="s">
        <v>1268</v>
      </c>
      <c r="C57" s="211" t="s">
        <v>569</v>
      </c>
      <c r="D57" s="223" t="s">
        <v>208</v>
      </c>
      <c r="E57" s="210" t="s">
        <v>2353</v>
      </c>
      <c r="F57" s="210"/>
      <c r="G57" s="210"/>
      <c r="H57" s="210"/>
      <c r="I57" s="210"/>
      <c r="J57" s="210"/>
      <c r="K57" s="210"/>
      <c r="L57" s="210"/>
      <c r="M57" s="210"/>
      <c r="N57" s="210"/>
      <c r="O57" s="196"/>
    </row>
    <row r="58" spans="1:15" s="212" customFormat="1" ht="15.75">
      <c r="A58" s="209" t="str">
        <f ca="1">IF(ISNA(VLOOKUP(D58,'Standard Smelter Names'!$B$3:$E$165,4,FALSE)),"",VLOOKUP(D58,'Standard Smelter Names'!$B$3:$E$165,4,FALSE))</f>
        <v>2USA001</v>
      </c>
      <c r="B58" s="210" t="s">
        <v>1268</v>
      </c>
      <c r="C58" s="211" t="s">
        <v>1782</v>
      </c>
      <c r="D58" s="211" t="str">
        <f t="shared" si="0"/>
        <v>Cookson</v>
      </c>
      <c r="E58" s="210" t="str">
        <f t="shared" si="1"/>
        <v>UNITED STATES</v>
      </c>
      <c r="F58" s="210"/>
      <c r="G58" s="210"/>
      <c r="H58" s="210"/>
      <c r="I58" s="210"/>
      <c r="J58" s="210"/>
      <c r="K58" s="210"/>
      <c r="L58" s="210"/>
      <c r="M58" s="210"/>
      <c r="N58" s="210"/>
      <c r="O58" s="196"/>
    </row>
    <row r="59" spans="1:15" s="212" customFormat="1" ht="15.75">
      <c r="A59" s="209" t="str">
        <f ca="1">IF(ISNA(VLOOKUP(D59,'Standard Smelter Names'!$B$3:$E$165,4,FALSE)),"",VLOOKUP(D59,'Standard Smelter Names'!$B$3:$E$165,4,FALSE))</f>
        <v>2IDN040</v>
      </c>
      <c r="B59" s="210" t="s">
        <v>1268</v>
      </c>
      <c r="C59" s="211" t="s">
        <v>1783</v>
      </c>
      <c r="D59" s="211" t="str">
        <f t="shared" si="0"/>
        <v>PT Stanindo Inti Perkasa</v>
      </c>
      <c r="E59" s="210" t="str">
        <f t="shared" si="1"/>
        <v>INDONESIA</v>
      </c>
      <c r="F59" s="210"/>
      <c r="G59" s="210"/>
      <c r="H59" s="210"/>
      <c r="I59" s="210"/>
      <c r="J59" s="210"/>
      <c r="K59" s="210"/>
      <c r="L59" s="210"/>
      <c r="M59" s="210"/>
      <c r="N59" s="210"/>
      <c r="O59" s="196"/>
    </row>
    <row r="60" spans="1:15" s="212" customFormat="1" ht="15.75">
      <c r="A60" s="209" t="str">
        <f ca="1">IF(ISNA(VLOOKUP(D60,'Standard Smelter Names'!$B$3:$E$165,4,FALSE)),"",VLOOKUP(D60,'Standard Smelter Names'!$B$3:$E$165,4,FALSE))</f>
        <v>2IDN003</v>
      </c>
      <c r="B60" s="210" t="s">
        <v>1268</v>
      </c>
      <c r="C60" s="211" t="s">
        <v>1784</v>
      </c>
      <c r="D60" s="211" t="str">
        <f t="shared" si="0"/>
        <v>CV Duta Putra Bangka</v>
      </c>
      <c r="E60" s="210" t="str">
        <f t="shared" si="1"/>
        <v>INDONESIA</v>
      </c>
      <c r="F60" s="210"/>
      <c r="G60" s="210"/>
      <c r="H60" s="210"/>
      <c r="I60" s="210"/>
      <c r="J60" s="210"/>
      <c r="K60" s="210"/>
      <c r="L60" s="210"/>
      <c r="M60" s="210"/>
      <c r="N60" s="210"/>
      <c r="O60" s="196"/>
    </row>
    <row r="61" spans="1:15" s="212" customFormat="1" ht="15.75">
      <c r="A61" s="209" t="str">
        <f ca="1">IF(ISNA(VLOOKUP(D61,'Standard Smelter Names'!$B$3:$E$165,4,FALSE)),"",VLOOKUP(D61,'Standard Smelter Names'!$B$3:$E$165,4,FALSE))</f>
        <v>2IDN004</v>
      </c>
      <c r="B61" s="210" t="s">
        <v>1268</v>
      </c>
      <c r="C61" s="211" t="s">
        <v>2475</v>
      </c>
      <c r="D61" s="211" t="str">
        <f t="shared" si="0"/>
        <v>CV JusTindo</v>
      </c>
      <c r="E61" s="210" t="str">
        <f t="shared" si="1"/>
        <v>INDONESIA</v>
      </c>
      <c r="F61" s="210"/>
      <c r="G61" s="210"/>
      <c r="H61" s="210"/>
      <c r="I61" s="210"/>
      <c r="J61" s="210"/>
      <c r="K61" s="210"/>
      <c r="L61" s="210"/>
      <c r="M61" s="210"/>
      <c r="N61" s="210"/>
      <c r="O61" s="196"/>
    </row>
    <row r="62" spans="1:15" s="212" customFormat="1" ht="15.75">
      <c r="A62" s="209" t="str">
        <f ca="1">IF(ISNA(VLOOKUP(D62,'Standard Smelter Names'!$B$3:$E$165,4,FALSE)),"",VLOOKUP(D62,'Standard Smelter Names'!$B$3:$E$165,4,FALSE))</f>
        <v>2IDN005</v>
      </c>
      <c r="B62" s="210" t="s">
        <v>1268</v>
      </c>
      <c r="C62" s="211" t="s">
        <v>1785</v>
      </c>
      <c r="D62" s="211" t="str">
        <f t="shared" si="0"/>
        <v>CV Makmur Jaya</v>
      </c>
      <c r="E62" s="210" t="str">
        <f t="shared" si="1"/>
        <v>INDONESIA</v>
      </c>
      <c r="F62" s="210"/>
      <c r="G62" s="210"/>
      <c r="H62" s="210"/>
      <c r="I62" s="210"/>
      <c r="J62" s="210"/>
      <c r="K62" s="210"/>
      <c r="L62" s="210"/>
      <c r="M62" s="210"/>
      <c r="N62" s="210"/>
      <c r="O62" s="196"/>
    </row>
    <row r="63" spans="1:15" s="212" customFormat="1" ht="15.75">
      <c r="A63" s="209" t="str">
        <f ca="1">IF(ISNA(VLOOKUP(D63,'Standard Smelter Names'!$B$3:$E$165,4,FALSE)),"",VLOOKUP(D63,'Standard Smelter Names'!$B$3:$E$165,4,FALSE))</f>
        <v>2IDN006</v>
      </c>
      <c r="B63" s="210" t="s">
        <v>1268</v>
      </c>
      <c r="C63" s="211" t="s">
        <v>1786</v>
      </c>
      <c r="D63" s="211" t="str">
        <f t="shared" si="0"/>
        <v>CV Nurjanah</v>
      </c>
      <c r="E63" s="210" t="str">
        <f t="shared" si="1"/>
        <v>INDONESIA</v>
      </c>
      <c r="F63" s="210"/>
      <c r="G63" s="210"/>
      <c r="H63" s="210"/>
      <c r="I63" s="210"/>
      <c r="J63" s="210"/>
      <c r="K63" s="210"/>
      <c r="L63" s="210"/>
      <c r="M63" s="210"/>
      <c r="N63" s="210"/>
      <c r="O63" s="196"/>
    </row>
    <row r="64" spans="1:15" s="212" customFormat="1" ht="15.75">
      <c r="A64" s="209" t="str">
        <f ca="1">IF(ISNA(VLOOKUP(D64,'Standard Smelter Names'!$B$3:$E$165,4,FALSE)),"",VLOOKUP(D64,'Standard Smelter Names'!$B$3:$E$165,4,FALSE))</f>
        <v>2IDN007</v>
      </c>
      <c r="B64" s="210" t="s">
        <v>1268</v>
      </c>
      <c r="C64" s="211" t="s">
        <v>1787</v>
      </c>
      <c r="D64" s="211" t="str">
        <f t="shared" si="0"/>
        <v>CV Prima Timah Utama</v>
      </c>
      <c r="E64" s="210" t="str">
        <f t="shared" si="1"/>
        <v>INDONESIA</v>
      </c>
      <c r="F64" s="210"/>
      <c r="G64" s="210"/>
      <c r="H64" s="210"/>
      <c r="I64" s="210"/>
      <c r="J64" s="210"/>
      <c r="K64" s="210"/>
      <c r="L64" s="210"/>
      <c r="M64" s="210"/>
      <c r="N64" s="210"/>
      <c r="O64" s="196"/>
    </row>
    <row r="65" spans="1:15" s="212" customFormat="1" ht="15.75">
      <c r="A65" s="209" t="str">
        <f ca="1">IF(ISNA(VLOOKUP(D65,'Standard Smelter Names'!$B$3:$E$165,4,FALSE)),"",VLOOKUP(D65,'Standard Smelter Names'!$B$3:$E$165,4,FALSE))</f>
        <v>2IDN008</v>
      </c>
      <c r="B65" s="210" t="s">
        <v>1268</v>
      </c>
      <c r="C65" s="211" t="s">
        <v>1788</v>
      </c>
      <c r="D65" s="211" t="str">
        <f t="shared" si="0"/>
        <v>CV Serumpun Sebalai</v>
      </c>
      <c r="E65" s="210" t="str">
        <f t="shared" si="1"/>
        <v>INDONESIA</v>
      </c>
      <c r="F65" s="210"/>
      <c r="G65" s="210"/>
      <c r="H65" s="210"/>
      <c r="I65" s="210"/>
      <c r="J65" s="210"/>
      <c r="K65" s="210"/>
      <c r="L65" s="210"/>
      <c r="M65" s="210"/>
      <c r="N65" s="210"/>
      <c r="O65" s="196"/>
    </row>
    <row r="66" spans="1:15" s="212" customFormat="1" ht="31.5">
      <c r="A66" s="209" t="str">
        <f ca="1">IF(ISNA(VLOOKUP(D66,'Standard Smelter Names'!$B$3:$E$165,4,FALSE)),"",VLOOKUP(D66,'Standard Smelter Names'!$B$3:$E$165,4,FALSE))</f>
        <v>2IDN009</v>
      </c>
      <c r="B66" s="210" t="s">
        <v>1268</v>
      </c>
      <c r="C66" s="211" t="s">
        <v>1789</v>
      </c>
      <c r="D66" s="211" t="str">
        <f t="shared" si="0"/>
        <v>CV United Smelting</v>
      </c>
      <c r="E66" s="210" t="str">
        <f t="shared" si="1"/>
        <v>INDONESIA</v>
      </c>
      <c r="F66" s="210"/>
      <c r="G66" s="210"/>
      <c r="H66" s="210"/>
      <c r="I66" s="224" t="s">
        <v>209</v>
      </c>
      <c r="J66" s="224" t="s">
        <v>210</v>
      </c>
      <c r="K66" s="210"/>
      <c r="L66" s="210"/>
      <c r="M66" s="210"/>
      <c r="N66" s="210"/>
      <c r="O66" s="196"/>
    </row>
    <row r="67" spans="1:15" s="212" customFormat="1" ht="15.75">
      <c r="A67" s="209" t="str">
        <f ca="1">IF(ISNA(VLOOKUP(D67,'Standard Smelter Names'!$B$3:$E$165,4,FALSE)),"",VLOOKUP(D67,'Standard Smelter Names'!$B$3:$E$165,4,FALSE))</f>
        <v/>
      </c>
      <c r="B67" s="210" t="s">
        <v>1268</v>
      </c>
      <c r="C67" s="211" t="s">
        <v>569</v>
      </c>
      <c r="D67" s="223" t="s">
        <v>211</v>
      </c>
      <c r="E67" s="210" t="s">
        <v>2320</v>
      </c>
      <c r="F67" s="210"/>
      <c r="G67" s="210"/>
      <c r="H67" s="210"/>
      <c r="I67" s="210"/>
      <c r="J67" s="210"/>
      <c r="K67" s="210"/>
      <c r="L67" s="210"/>
      <c r="M67" s="210"/>
      <c r="N67" s="210"/>
      <c r="O67" s="196"/>
    </row>
    <row r="68" spans="1:15" s="212" customFormat="1" ht="31.5">
      <c r="A68" s="209" t="str">
        <f ca="1">IF(ISNA(VLOOKUP(D68,'Standard Smelter Names'!$B$3:$E$165,4,FALSE)),"",VLOOKUP(D68,'Standard Smelter Names'!$B$3:$E$165,4,FALSE))</f>
        <v>2BOL010</v>
      </c>
      <c r="B68" s="210" t="s">
        <v>1268</v>
      </c>
      <c r="C68" s="211" t="s">
        <v>1790</v>
      </c>
      <c r="D68" s="211" t="str">
        <f t="shared" si="0"/>
        <v>EM Vinto</v>
      </c>
      <c r="E68" s="210" t="str">
        <f t="shared" si="1"/>
        <v>BOLIVIA</v>
      </c>
      <c r="F68" s="210"/>
      <c r="G68" s="210"/>
      <c r="H68" s="210"/>
      <c r="I68" s="224" t="s">
        <v>212</v>
      </c>
      <c r="J68" s="224" t="s">
        <v>213</v>
      </c>
      <c r="K68" s="210"/>
      <c r="L68" s="210"/>
      <c r="M68" s="210"/>
      <c r="N68" s="210"/>
      <c r="O68" s="196"/>
    </row>
    <row r="69" spans="1:15" s="212" customFormat="1" ht="15.75">
      <c r="A69" s="209" t="str">
        <f ca="1">IF(ISNA(VLOOKUP(D69,'Standard Smelter Names'!$B$3:$E$165,4,FALSE)),"",VLOOKUP(D69,'Standard Smelter Names'!$B$3:$E$165,4,FALSE))</f>
        <v>2RUS021</v>
      </c>
      <c r="B69" s="210" t="s">
        <v>1268</v>
      </c>
      <c r="C69" s="211" t="s">
        <v>138</v>
      </c>
      <c r="D69" s="211" t="str">
        <f t="shared" ref="D69:D132" si="2">IF(ISNA(VLOOKUP(C69,$G$1023:$I$1379,3,FALSE)),"",VLOOKUP(C69,$G$1023:$I$1379,3,FALSE))</f>
        <v>Novosibirsk Integrated Tin Works</v>
      </c>
      <c r="E69" s="210" t="str">
        <f t="shared" ref="E69:E132" si="3">IF(ISNA(VLOOKUP(C69,$G$1023:$I$1379,2,FALSE)),"",VLOOKUP(C69,$G$1023:$I$1379,2,FALSE))</f>
        <v>RUSSIAN FEDERATION</v>
      </c>
      <c r="F69" s="210"/>
      <c r="G69" s="210"/>
      <c r="H69" s="210"/>
      <c r="I69" s="210"/>
      <c r="J69" s="210"/>
      <c r="K69" s="210"/>
      <c r="L69" s="210"/>
      <c r="M69" s="210"/>
      <c r="N69" s="210"/>
      <c r="O69" s="196"/>
    </row>
    <row r="70" spans="1:15" s="212" customFormat="1" ht="15.75">
      <c r="A70" s="209" t="str">
        <f ca="1">IF(ISNA(VLOOKUP(D70,'Standard Smelter Names'!$B$3:$E$165,4,FALSE)),"",VLOOKUP(D70,'Standard Smelter Names'!$B$3:$E$165,4,FALSE))</f>
        <v/>
      </c>
      <c r="B70" s="210" t="s">
        <v>1268</v>
      </c>
      <c r="C70" s="211" t="s">
        <v>569</v>
      </c>
      <c r="D70" s="223" t="s">
        <v>908</v>
      </c>
      <c r="E70" s="210" t="s">
        <v>205</v>
      </c>
      <c r="F70" s="210"/>
      <c r="G70" s="210"/>
      <c r="H70" s="210"/>
      <c r="I70" s="210"/>
      <c r="J70" s="210"/>
      <c r="K70" s="210"/>
      <c r="L70" s="210"/>
      <c r="M70" s="210"/>
      <c r="N70" s="210"/>
      <c r="O70" s="196"/>
    </row>
    <row r="71" spans="1:15" s="212" customFormat="1" ht="15.75">
      <c r="A71" s="209" t="str">
        <f ca="1">IF(ISNA(VLOOKUP(D71,'Standard Smelter Names'!$B$3:$E$165,4,FALSE)),"",VLOOKUP(D71,'Standard Smelter Names'!$B$3:$E$165,4,FALSE))</f>
        <v>2CHN012</v>
      </c>
      <c r="B71" s="210" t="s">
        <v>1268</v>
      </c>
      <c r="C71" s="211" t="s">
        <v>1564</v>
      </c>
      <c r="D71" s="211" t="str">
        <f t="shared" si="2"/>
        <v>Geiju Non-Ferrous Metal Processing Co. Ltd.</v>
      </c>
      <c r="E71" s="210" t="str">
        <f t="shared" si="3"/>
        <v>CHINA</v>
      </c>
      <c r="F71" s="210"/>
      <c r="G71" s="210"/>
      <c r="H71" s="210"/>
      <c r="I71" s="224" t="s">
        <v>214</v>
      </c>
      <c r="J71" s="224" t="s">
        <v>215</v>
      </c>
      <c r="K71" s="210"/>
      <c r="L71" s="210"/>
      <c r="M71" s="210"/>
      <c r="N71" s="210"/>
      <c r="O71" s="196"/>
    </row>
    <row r="72" spans="1:15" s="212" customFormat="1" ht="15.75">
      <c r="A72" s="209" t="str">
        <f ca="1">IF(ISNA(VLOOKUP(D72,'Standard Smelter Names'!$B$3:$E$165,4,FALSE)),"",VLOOKUP(D72,'Standard Smelter Names'!$B$3:$E$165,4,FALSE))</f>
        <v>2CHN011</v>
      </c>
      <c r="B72" s="210" t="s">
        <v>1268</v>
      </c>
      <c r="C72" s="211" t="s">
        <v>812</v>
      </c>
      <c r="D72" s="211" t="str">
        <f t="shared" si="2"/>
        <v>Gejiu Zi-Li</v>
      </c>
      <c r="E72" s="210" t="str">
        <f t="shared" si="3"/>
        <v>CHINA</v>
      </c>
      <c r="F72" s="210"/>
      <c r="G72" s="210"/>
      <c r="H72" s="210"/>
      <c r="I72" s="210"/>
      <c r="J72" s="224" t="s">
        <v>216</v>
      </c>
      <c r="K72" s="210"/>
      <c r="L72" s="210"/>
      <c r="M72" s="210"/>
      <c r="N72" s="210"/>
      <c r="O72" s="196"/>
    </row>
    <row r="73" spans="1:15" s="212" customFormat="1" ht="15.75">
      <c r="A73" s="209" t="str">
        <f ca="1">IF(ISNA(VLOOKUP(D73,'Standard Smelter Names'!$B$3:$E$165,4,FALSE)),"",VLOOKUP(D73,'Standard Smelter Names'!$B$3:$E$165,4,FALSE))</f>
        <v>2CHN013</v>
      </c>
      <c r="B73" s="210" t="s">
        <v>1268</v>
      </c>
      <c r="C73" s="211" t="s">
        <v>1792</v>
      </c>
      <c r="D73" s="211" t="str">
        <f t="shared" si="2"/>
        <v>Gold Bell Group</v>
      </c>
      <c r="E73" s="210" t="str">
        <f t="shared" si="3"/>
        <v>CHINA</v>
      </c>
      <c r="F73" s="210"/>
      <c r="G73" s="210"/>
      <c r="H73" s="210"/>
      <c r="I73" s="210"/>
      <c r="J73" s="210"/>
      <c r="K73" s="210"/>
      <c r="L73" s="210"/>
      <c r="M73" s="210"/>
      <c r="N73" s="210"/>
      <c r="O73" s="196"/>
    </row>
    <row r="74" spans="1:15" s="212" customFormat="1" ht="15.75">
      <c r="A74" s="209" t="str">
        <f ca="1">IF(ISNA(VLOOKUP(D74,'Standard Smelter Names'!$B$3:$E$165,4,FALSE)),"",VLOOKUP(D74,'Standard Smelter Names'!$B$3:$E$165,4,FALSE))</f>
        <v/>
      </c>
      <c r="B74" s="210" t="s">
        <v>1268</v>
      </c>
      <c r="C74" s="211" t="s">
        <v>569</v>
      </c>
      <c r="D74" s="223" t="s">
        <v>60</v>
      </c>
      <c r="E74" s="210" t="s">
        <v>2245</v>
      </c>
      <c r="F74" s="210"/>
      <c r="G74" s="210"/>
      <c r="H74" s="210"/>
      <c r="I74" s="210"/>
      <c r="J74" s="210"/>
      <c r="K74" s="210"/>
      <c r="L74" s="210"/>
      <c r="M74" s="210"/>
      <c r="N74" s="210"/>
      <c r="O74" s="196"/>
    </row>
    <row r="75" spans="1:15" s="212" customFormat="1" ht="15.75">
      <c r="A75" s="209" t="str">
        <f ca="1">IF(ISNA(VLOOKUP(D75,'Standard Smelter Names'!$B$3:$E$165,4,FALSE)),"",VLOOKUP(D75,'Standard Smelter Names'!$B$3:$E$165,4,FALSE))</f>
        <v/>
      </c>
      <c r="B75" s="210" t="s">
        <v>1268</v>
      </c>
      <c r="C75" s="211" t="s">
        <v>569</v>
      </c>
      <c r="D75" s="223" t="s">
        <v>217</v>
      </c>
      <c r="E75" s="210" t="s">
        <v>2353</v>
      </c>
      <c r="F75" s="210"/>
      <c r="G75" s="210"/>
      <c r="H75" s="210"/>
      <c r="I75" s="210"/>
      <c r="J75" s="210"/>
      <c r="K75" s="210"/>
      <c r="L75" s="210"/>
      <c r="M75" s="210"/>
      <c r="N75" s="210"/>
      <c r="O75" s="196"/>
    </row>
    <row r="76" spans="1:15" s="212" customFormat="1" ht="15.75">
      <c r="A76" s="209" t="str">
        <f ca="1">IF(ISNA(VLOOKUP(D76,'Standard Smelter Names'!$B$3:$E$165,4,FALSE)),"",VLOOKUP(D76,'Standard Smelter Names'!$B$3:$E$165,4,FALSE))</f>
        <v/>
      </c>
      <c r="B76" s="210" t="s">
        <v>1268</v>
      </c>
      <c r="C76" s="211" t="s">
        <v>569</v>
      </c>
      <c r="D76" s="223" t="s">
        <v>218</v>
      </c>
      <c r="E76" s="210" t="s">
        <v>2320</v>
      </c>
      <c r="F76" s="210"/>
      <c r="G76" s="210"/>
      <c r="H76" s="210"/>
      <c r="I76" s="210"/>
      <c r="J76" s="210"/>
      <c r="K76" s="210"/>
      <c r="L76" s="210"/>
      <c r="M76" s="210"/>
      <c r="N76" s="210"/>
      <c r="O76" s="196"/>
    </row>
    <row r="77" spans="1:15" s="212" customFormat="1" ht="31.5">
      <c r="A77" s="209" t="str">
        <f ca="1">IF(ISNA(VLOOKUP(D77,'Standard Smelter Names'!$B$3:$E$165,4,FALSE)),"",VLOOKUP(D77,'Standard Smelter Names'!$B$3:$E$165,4,FALSE))</f>
        <v/>
      </c>
      <c r="B77" s="210" t="s">
        <v>1268</v>
      </c>
      <c r="C77" s="211" t="s">
        <v>569</v>
      </c>
      <c r="D77" s="223" t="s">
        <v>219</v>
      </c>
      <c r="E77" s="210" t="s">
        <v>205</v>
      </c>
      <c r="F77" s="210"/>
      <c r="G77" s="210"/>
      <c r="H77" s="210"/>
      <c r="I77" s="224" t="s">
        <v>220</v>
      </c>
      <c r="J77" s="224" t="s">
        <v>221</v>
      </c>
      <c r="K77" s="210"/>
      <c r="L77" s="210"/>
      <c r="M77" s="210"/>
      <c r="N77" s="210"/>
      <c r="O77" s="196"/>
    </row>
    <row r="78" spans="1:15" s="212" customFormat="1" ht="15.75">
      <c r="A78" s="209" t="str">
        <f ca="1">IF(ISNA(VLOOKUP(D78,'Standard Smelter Names'!$B$3:$E$165,4,FALSE)),"",VLOOKUP(D78,'Standard Smelter Names'!$B$3:$E$165,4,FALSE))</f>
        <v>2CHN014</v>
      </c>
      <c r="B78" s="210" t="s">
        <v>1268</v>
      </c>
      <c r="C78" s="211" t="s">
        <v>2476</v>
      </c>
      <c r="D78" s="211" t="str">
        <f t="shared" si="2"/>
        <v>Jiangxi Nanshan</v>
      </c>
      <c r="E78" s="210" t="str">
        <f t="shared" si="3"/>
        <v>CHINA</v>
      </c>
      <c r="F78" s="210"/>
      <c r="G78" s="210"/>
      <c r="H78" s="210"/>
      <c r="I78" s="210"/>
      <c r="J78" s="210"/>
      <c r="K78" s="210"/>
      <c r="L78" s="210"/>
      <c r="M78" s="210"/>
      <c r="N78" s="210"/>
      <c r="O78" s="196"/>
    </row>
    <row r="79" spans="1:15" s="212" customFormat="1" ht="15.75">
      <c r="A79" s="209" t="str">
        <f ca="1">IF(ISNA(VLOOKUP(D79,'Standard Smelter Names'!$B$3:$E$165,4,FALSE)),"",VLOOKUP(D79,'Standard Smelter Names'!$B$3:$E$165,4,FALSE))</f>
        <v/>
      </c>
      <c r="B79" s="210" t="s">
        <v>1268</v>
      </c>
      <c r="C79" s="211" t="s">
        <v>569</v>
      </c>
      <c r="D79" s="223" t="s">
        <v>229</v>
      </c>
      <c r="E79" s="210" t="s">
        <v>2302</v>
      </c>
      <c r="F79" s="210"/>
      <c r="G79" s="210"/>
      <c r="H79" s="210"/>
      <c r="I79" s="210"/>
      <c r="J79" s="210"/>
      <c r="K79" s="210"/>
      <c r="L79" s="210"/>
      <c r="M79" s="210"/>
      <c r="N79" s="210"/>
      <c r="O79" s="196"/>
    </row>
    <row r="80" spans="1:15" s="212" customFormat="1" ht="15.75">
      <c r="A80" s="209" t="str">
        <f ca="1">IF(ISNA(VLOOKUP(D80,'Standard Smelter Names'!$B$3:$E$165,4,FALSE)),"",VLOOKUP(D80,'Standard Smelter Names'!$B$3:$E$165,4,FALSE))</f>
        <v/>
      </c>
      <c r="B80" s="224" t="s">
        <v>1268</v>
      </c>
      <c r="C80" s="211" t="s">
        <v>569</v>
      </c>
      <c r="D80" s="223" t="s">
        <v>230</v>
      </c>
      <c r="E80" s="210" t="s">
        <v>2313</v>
      </c>
      <c r="F80" s="210"/>
      <c r="G80" s="210"/>
      <c r="H80" s="210"/>
      <c r="I80" s="210"/>
      <c r="J80" s="210"/>
      <c r="K80" s="210"/>
      <c r="L80" s="210"/>
      <c r="M80" s="210"/>
      <c r="N80" s="210"/>
      <c r="O80" s="196"/>
    </row>
    <row r="81" spans="1:15" s="212" customFormat="1" ht="15.75">
      <c r="A81" s="209" t="str">
        <f ca="1">IF(ISNA(VLOOKUP(D81,'Standard Smelter Names'!$B$3:$E$165,4,FALSE)),"",VLOOKUP(D81,'Standard Smelter Names'!$B$3:$E$165,4,FALSE))</f>
        <v/>
      </c>
      <c r="B81" s="224" t="s">
        <v>1268</v>
      </c>
      <c r="C81" s="211" t="s">
        <v>569</v>
      </c>
      <c r="D81" s="223" t="s">
        <v>231</v>
      </c>
      <c r="E81" s="210" t="s">
        <v>2258</v>
      </c>
      <c r="F81" s="210"/>
      <c r="G81" s="210"/>
      <c r="H81" s="210"/>
      <c r="I81" s="210"/>
      <c r="J81" s="210"/>
      <c r="K81" s="210"/>
      <c r="L81" s="210"/>
      <c r="M81" s="210"/>
      <c r="N81" s="210"/>
      <c r="O81" s="196"/>
    </row>
    <row r="82" spans="1:15" s="212" customFormat="1" ht="15.75">
      <c r="A82" s="209" t="str">
        <f ca="1">IF(ISNA(VLOOKUP(D82,'Standard Smelter Names'!$B$3:$E$165,4,FALSE)),"",VLOOKUP(D82,'Standard Smelter Names'!$B$3:$E$165,4,FALSE))</f>
        <v/>
      </c>
      <c r="B82" s="224" t="s">
        <v>1268</v>
      </c>
      <c r="C82" s="211" t="s">
        <v>569</v>
      </c>
      <c r="D82" s="223" t="s">
        <v>232</v>
      </c>
      <c r="E82" s="210" t="s">
        <v>2245</v>
      </c>
      <c r="F82" s="210"/>
      <c r="G82" s="210"/>
      <c r="H82" s="210"/>
      <c r="I82" s="210"/>
      <c r="J82" s="210"/>
      <c r="K82" s="210"/>
      <c r="L82" s="210"/>
      <c r="M82" s="210"/>
      <c r="N82" s="210"/>
      <c r="O82" s="196"/>
    </row>
    <row r="83" spans="1:15" s="212" customFormat="1" ht="15.75">
      <c r="A83" s="209" t="str">
        <f ca="1">IF(ISNA(VLOOKUP(D83,'Standard Smelter Names'!$B$3:$E$165,4,FALSE)),"",VLOOKUP(D83,'Standard Smelter Names'!$B$3:$E$165,4,FALSE))</f>
        <v>2CHN015</v>
      </c>
      <c r="B83" s="224" t="s">
        <v>1268</v>
      </c>
      <c r="C83" s="211" t="s">
        <v>1793</v>
      </c>
      <c r="D83" s="211" t="str">
        <f t="shared" si="2"/>
        <v>Liuzhou China Tin</v>
      </c>
      <c r="E83" s="210" t="str">
        <f t="shared" si="3"/>
        <v>CHINA</v>
      </c>
      <c r="F83" s="210"/>
      <c r="G83" s="210"/>
      <c r="H83" s="210"/>
      <c r="I83" s="210"/>
      <c r="J83" s="210"/>
      <c r="K83" s="210"/>
      <c r="L83" s="210"/>
      <c r="M83" s="210"/>
      <c r="N83" s="210"/>
      <c r="O83" s="196"/>
    </row>
    <row r="84" spans="1:15" s="212" customFormat="1" ht="15.75">
      <c r="A84" s="209" t="str">
        <f ca="1">IF(ISNA(VLOOKUP(D84,'Standard Smelter Names'!$B$3:$E$165,4,FALSE)),"",VLOOKUP(D84,'Standard Smelter Names'!$B$3:$E$165,4,FALSE))</f>
        <v>2MYS016</v>
      </c>
      <c r="B84" s="210" t="s">
        <v>1268</v>
      </c>
      <c r="C84" s="211" t="s">
        <v>1794</v>
      </c>
      <c r="D84" s="211" t="str">
        <f t="shared" si="2"/>
        <v>Malaysia Smelting Corp</v>
      </c>
      <c r="E84" s="210" t="str">
        <f t="shared" si="3"/>
        <v>MALAYSIA</v>
      </c>
      <c r="F84" s="210"/>
      <c r="G84" s="210"/>
      <c r="H84" s="210"/>
      <c r="I84" s="224" t="s">
        <v>223</v>
      </c>
      <c r="J84" s="224" t="s">
        <v>224</v>
      </c>
      <c r="K84" s="210"/>
      <c r="L84" s="210"/>
      <c r="M84" s="210"/>
      <c r="N84" s="210"/>
      <c r="O84" s="196"/>
    </row>
    <row r="85" spans="1:15" s="212" customFormat="1" ht="15.75">
      <c r="A85" s="209" t="str">
        <f ca="1">IF(ISNA(VLOOKUP(D85,'Standard Smelter Names'!$B$3:$E$165,4,FALSE)),"",VLOOKUP(D85,'Standard Smelter Names'!$B$3:$E$165,4,FALSE))</f>
        <v/>
      </c>
      <c r="B85" s="210" t="s">
        <v>1268</v>
      </c>
      <c r="C85" s="211" t="s">
        <v>569</v>
      </c>
      <c r="D85" s="223" t="s">
        <v>222</v>
      </c>
      <c r="E85" s="210" t="s">
        <v>2302</v>
      </c>
      <c r="F85" s="210"/>
      <c r="G85" s="210"/>
      <c r="H85" s="210"/>
      <c r="I85" s="224" t="s">
        <v>225</v>
      </c>
      <c r="J85" s="224" t="s">
        <v>226</v>
      </c>
      <c r="K85" s="210"/>
      <c r="L85" s="210"/>
      <c r="M85" s="210"/>
      <c r="N85" s="210"/>
      <c r="O85" s="196"/>
    </row>
    <row r="86" spans="1:15" s="212" customFormat="1" ht="31.5">
      <c r="A86" s="209" t="str">
        <f ca="1">IF(ISNA(VLOOKUP(D86,'Standard Smelter Names'!$B$3:$E$165,4,FALSE)),"",VLOOKUP(D86,'Standard Smelter Names'!$B$3:$E$165,4,FALSE))</f>
        <v>2BEL017</v>
      </c>
      <c r="B86" s="210" t="s">
        <v>1268</v>
      </c>
      <c r="C86" s="211" t="s">
        <v>1795</v>
      </c>
      <c r="D86" s="211" t="str">
        <f t="shared" si="2"/>
        <v>Metallo Chimique</v>
      </c>
      <c r="E86" s="210" t="str">
        <f t="shared" si="3"/>
        <v>BELGIUM</v>
      </c>
      <c r="F86" s="210"/>
      <c r="G86" s="210"/>
      <c r="H86" s="210"/>
      <c r="I86" s="224" t="s">
        <v>227</v>
      </c>
      <c r="J86" s="224" t="s">
        <v>228</v>
      </c>
      <c r="K86" s="210"/>
      <c r="L86" s="210"/>
      <c r="M86" s="210"/>
      <c r="N86" s="210"/>
      <c r="O86" s="196"/>
    </row>
    <row r="87" spans="1:15" s="212" customFormat="1" ht="15.75">
      <c r="A87" s="209" t="str">
        <f ca="1">IF(ISNA(VLOOKUP(D87,'Standard Smelter Names'!$B$3:$E$165,4,FALSE)),"",VLOOKUP(D87,'Standard Smelter Names'!$B$3:$E$165,4,FALSE))</f>
        <v>2BRA018</v>
      </c>
      <c r="B87" s="210" t="s">
        <v>1268</v>
      </c>
      <c r="C87" s="211" t="s">
        <v>2619</v>
      </c>
      <c r="D87" s="211" t="str">
        <f t="shared" si="2"/>
        <v>Mineração Taboca S.A.</v>
      </c>
      <c r="E87" s="210" t="str">
        <f t="shared" si="3"/>
        <v>BRAZIL</v>
      </c>
      <c r="F87" s="210"/>
      <c r="G87" s="210"/>
      <c r="H87" s="210"/>
      <c r="I87" s="224" t="s">
        <v>233</v>
      </c>
      <c r="J87" s="224" t="s">
        <v>234</v>
      </c>
      <c r="K87" s="210"/>
      <c r="L87" s="210"/>
      <c r="M87" s="210"/>
      <c r="N87" s="210"/>
      <c r="O87" s="196"/>
    </row>
    <row r="88" spans="1:15" s="212" customFormat="1" ht="15.75">
      <c r="A88" s="209" t="str">
        <f ca="1">IF(ISNA(VLOOKUP(D88,'Standard Smelter Names'!$B$3:$E$165,4,FALSE)),"",VLOOKUP(D88,'Standard Smelter Names'!$B$3:$E$165,4,FALSE))</f>
        <v>2PER019</v>
      </c>
      <c r="B88" s="210" t="s">
        <v>1268</v>
      </c>
      <c r="C88" s="211" t="s">
        <v>2620</v>
      </c>
      <c r="D88" s="211" t="str">
        <f t="shared" si="2"/>
        <v>Minsur</v>
      </c>
      <c r="E88" s="210" t="str">
        <f t="shared" si="3"/>
        <v>PERU</v>
      </c>
      <c r="F88" s="210"/>
      <c r="G88" s="210"/>
      <c r="H88" s="210"/>
      <c r="I88" s="224" t="s">
        <v>235</v>
      </c>
      <c r="J88" s="224" t="s">
        <v>236</v>
      </c>
      <c r="K88" s="210"/>
      <c r="L88" s="210"/>
      <c r="M88" s="210"/>
      <c r="N88" s="210"/>
      <c r="O88" s="196"/>
    </row>
    <row r="89" spans="1:15" s="212" customFormat="1" ht="15.75">
      <c r="A89" s="209" t="str">
        <f ca="1">IF(ISNA(VLOOKUP(D89,'Standard Smelter Names'!$B$3:$E$165,4,FALSE)),"",VLOOKUP(D89,'Standard Smelter Names'!$B$3:$E$165,4,FALSE))</f>
        <v>1JPN039</v>
      </c>
      <c r="B89" s="210" t="s">
        <v>1268</v>
      </c>
      <c r="C89" s="211" t="s">
        <v>136</v>
      </c>
      <c r="D89" s="211" t="str">
        <f t="shared" si="2"/>
        <v>Mitsubishi Materials Corporation</v>
      </c>
      <c r="E89" s="210" t="str">
        <f t="shared" si="3"/>
        <v>JAPAN</v>
      </c>
      <c r="F89" s="210"/>
      <c r="G89" s="210"/>
      <c r="H89" s="210"/>
      <c r="I89" s="224" t="s">
        <v>237</v>
      </c>
      <c r="J89" s="224" t="s">
        <v>238</v>
      </c>
      <c r="K89" s="210"/>
      <c r="L89" s="210"/>
      <c r="M89" s="210"/>
      <c r="N89" s="210"/>
      <c r="O89" s="196"/>
    </row>
    <row r="90" spans="1:15" s="212" customFormat="1" ht="15.75">
      <c r="A90" s="209" t="str">
        <f ca="1">IF(ISNA(VLOOKUP(D90,'Standard Smelter Names'!$B$3:$E$165,4,FALSE)),"",VLOOKUP(D90,'Standard Smelter Names'!$B$3:$E$165,4,FALSE))</f>
        <v/>
      </c>
      <c r="B90" s="210" t="s">
        <v>1268</v>
      </c>
      <c r="C90" s="211" t="s">
        <v>569</v>
      </c>
      <c r="D90" s="223" t="s">
        <v>239</v>
      </c>
      <c r="E90" s="210" t="s">
        <v>2426</v>
      </c>
      <c r="F90" s="210"/>
      <c r="G90" s="210"/>
      <c r="H90" s="210"/>
      <c r="I90" s="210"/>
      <c r="J90" s="210"/>
      <c r="K90" s="210"/>
      <c r="L90" s="210"/>
      <c r="M90" s="210"/>
      <c r="N90" s="210"/>
      <c r="O90" s="196"/>
    </row>
    <row r="91" spans="1:15" s="212" customFormat="1" ht="15.75">
      <c r="A91" s="209" t="str">
        <f ca="1">IF(ISNA(VLOOKUP(D91,'Standard Smelter Names'!$B$3:$E$165,4,FALSE)),"",VLOOKUP(D91,'Standard Smelter Names'!$B$3:$E$165,4,FALSE))</f>
        <v/>
      </c>
      <c r="B91" s="210" t="s">
        <v>1268</v>
      </c>
      <c r="C91" s="211" t="s">
        <v>569</v>
      </c>
      <c r="D91" s="223" t="s">
        <v>240</v>
      </c>
      <c r="E91" s="210" t="s">
        <v>2313</v>
      </c>
      <c r="F91" s="210"/>
      <c r="G91" s="210"/>
      <c r="H91" s="210"/>
      <c r="I91" s="210"/>
      <c r="J91" s="210"/>
      <c r="K91" s="210"/>
      <c r="L91" s="210"/>
      <c r="M91" s="210"/>
      <c r="N91" s="210"/>
      <c r="O91" s="196"/>
    </row>
    <row r="92" spans="1:15" s="212" customFormat="1" ht="31.5">
      <c r="A92" s="209" t="str">
        <f ca="1">IF(ISNA(VLOOKUP(D92,'Standard Smelter Names'!$B$3:$E$165,4,FALSE)),"",VLOOKUP(D92,'Standard Smelter Names'!$B$3:$E$165,4,FALSE))</f>
        <v>2BOL022</v>
      </c>
      <c r="B92" s="210" t="s">
        <v>1268</v>
      </c>
      <c r="C92" s="211" t="s">
        <v>1796</v>
      </c>
      <c r="D92" s="211" t="str">
        <f t="shared" si="2"/>
        <v>OMSA</v>
      </c>
      <c r="E92" s="210" t="str">
        <f t="shared" si="3"/>
        <v>BOLIVIA</v>
      </c>
      <c r="F92" s="210"/>
      <c r="G92" s="210"/>
      <c r="H92" s="210"/>
      <c r="I92" s="224" t="s">
        <v>241</v>
      </c>
      <c r="J92" s="224" t="s">
        <v>242</v>
      </c>
      <c r="K92" s="210"/>
      <c r="L92" s="210"/>
      <c r="M92" s="210"/>
      <c r="N92" s="210"/>
      <c r="O92" s="196"/>
    </row>
    <row r="93" spans="1:15" s="212" customFormat="1" ht="15.75">
      <c r="A93" s="209" t="str">
        <f ca="1">IF(ISNA(VLOOKUP(D93,'Standard Smelter Names'!$B$3:$E$165,4,FALSE)),"",VLOOKUP(D93,'Standard Smelter Names'!$B$3:$E$165,4,FALSE))</f>
        <v/>
      </c>
      <c r="B93" s="210" t="s">
        <v>1268</v>
      </c>
      <c r="C93" s="211" t="s">
        <v>569</v>
      </c>
      <c r="D93" s="223" t="s">
        <v>243</v>
      </c>
      <c r="E93" s="210" t="s">
        <v>2320</v>
      </c>
      <c r="F93" s="210"/>
      <c r="G93" s="210"/>
      <c r="H93" s="210"/>
      <c r="I93" s="210"/>
      <c r="J93" s="210"/>
      <c r="K93" s="210"/>
      <c r="L93" s="210"/>
      <c r="M93" s="210"/>
      <c r="N93" s="210"/>
      <c r="O93" s="196"/>
    </row>
    <row r="94" spans="1:15" s="212" customFormat="1" ht="15.75">
      <c r="A94" s="209" t="str">
        <f ca="1">IF(ISNA(VLOOKUP(D94,'Standard Smelter Names'!$B$3:$E$165,4,FALSE)),"",VLOOKUP(D94,'Standard Smelter Names'!$B$3:$E$165,4,FALSE))</f>
        <v/>
      </c>
      <c r="B94" s="210" t="s">
        <v>1268</v>
      </c>
      <c r="C94" s="211" t="s">
        <v>569</v>
      </c>
      <c r="D94" s="211" t="s">
        <v>244</v>
      </c>
      <c r="E94" s="210" t="s">
        <v>2320</v>
      </c>
      <c r="F94" s="210"/>
      <c r="G94" s="210"/>
      <c r="H94" s="210"/>
      <c r="I94" s="210"/>
      <c r="J94" s="210"/>
      <c r="K94" s="210"/>
      <c r="L94" s="210"/>
      <c r="M94" s="210"/>
      <c r="N94" s="210"/>
      <c r="O94" s="196"/>
    </row>
    <row r="95" spans="1:15" s="212" customFormat="1" ht="15.75">
      <c r="A95" s="209" t="str">
        <f ca="1">IF(ISNA(VLOOKUP(D95,'Standard Smelter Names'!$B$3:$E$165,4,FALSE)),"",VLOOKUP(D95,'Standard Smelter Names'!$B$3:$E$165,4,FALSE))</f>
        <v>2IDN023</v>
      </c>
      <c r="B95" s="210" t="s">
        <v>1268</v>
      </c>
      <c r="C95" s="211" t="s">
        <v>1797</v>
      </c>
      <c r="D95" s="211" t="str">
        <f t="shared" si="2"/>
        <v>PT Alam Lestari Kencana</v>
      </c>
      <c r="E95" s="210" t="str">
        <f t="shared" si="3"/>
        <v>INDONESIA</v>
      </c>
      <c r="F95" s="210"/>
      <c r="G95" s="210"/>
      <c r="H95" s="210"/>
      <c r="I95" s="210"/>
      <c r="J95" s="210"/>
      <c r="K95" s="210"/>
      <c r="L95" s="210"/>
      <c r="M95" s="210"/>
      <c r="N95" s="210"/>
      <c r="O95" s="196"/>
    </row>
    <row r="96" spans="1:15" s="212" customFormat="1" ht="15.75">
      <c r="A96" s="209" t="str">
        <f ca="1">IF(ISNA(VLOOKUP(D96,'Standard Smelter Names'!$B$3:$E$165,4,FALSE)),"",VLOOKUP(D96,'Standard Smelter Names'!$B$3:$E$165,4,FALSE))</f>
        <v>2IDN024</v>
      </c>
      <c r="B96" s="210" t="s">
        <v>1268</v>
      </c>
      <c r="C96" s="211" t="s">
        <v>1798</v>
      </c>
      <c r="D96" s="211" t="str">
        <f t="shared" si="2"/>
        <v>PT Artha Cipta Langgeng</v>
      </c>
      <c r="E96" s="210" t="str">
        <f t="shared" si="3"/>
        <v>INDONESIA</v>
      </c>
      <c r="F96" s="210"/>
      <c r="G96" s="210"/>
      <c r="H96" s="210"/>
      <c r="I96" s="210"/>
      <c r="J96" s="210"/>
      <c r="K96" s="210"/>
      <c r="L96" s="210"/>
      <c r="M96" s="210"/>
      <c r="N96" s="210"/>
      <c r="O96" s="196"/>
    </row>
    <row r="97" spans="1:15" s="212" customFormat="1" ht="15.75">
      <c r="A97" s="209" t="str">
        <f ca="1">IF(ISNA(VLOOKUP(D97,'Standard Smelter Names'!$B$3:$E$165,4,FALSE)),"",VLOOKUP(D97,'Standard Smelter Names'!$B$3:$E$165,4,FALSE))</f>
        <v>2IDN025</v>
      </c>
      <c r="B97" s="210" t="s">
        <v>1268</v>
      </c>
      <c r="C97" s="211" t="s">
        <v>1799</v>
      </c>
      <c r="D97" s="211" t="str">
        <f t="shared" si="2"/>
        <v>PT Babel Inti Perkasa</v>
      </c>
      <c r="E97" s="210" t="str">
        <f t="shared" si="3"/>
        <v>INDONESIA</v>
      </c>
      <c r="F97" s="210"/>
      <c r="G97" s="210"/>
      <c r="H97" s="210"/>
      <c r="I97" s="210"/>
      <c r="J97" s="210"/>
      <c r="K97" s="210"/>
      <c r="L97" s="210"/>
      <c r="M97" s="210"/>
      <c r="N97" s="210"/>
      <c r="O97" s="196"/>
    </row>
    <row r="98" spans="1:15" s="212" customFormat="1" ht="15.75">
      <c r="A98" s="209" t="str">
        <f ca="1">IF(ISNA(VLOOKUP(D98,'Standard Smelter Names'!$B$3:$E$165,4,FALSE)),"",VLOOKUP(D98,'Standard Smelter Names'!$B$3:$E$165,4,FALSE))</f>
        <v>2IDN026</v>
      </c>
      <c r="B98" s="210" t="s">
        <v>1268</v>
      </c>
      <c r="C98" s="211" t="s">
        <v>1800</v>
      </c>
      <c r="D98" s="211" t="str">
        <f t="shared" si="2"/>
        <v>PT Babel Surya Alam Lestari</v>
      </c>
      <c r="E98" s="210" t="str">
        <f t="shared" si="3"/>
        <v>INDONESIA</v>
      </c>
      <c r="F98" s="210"/>
      <c r="G98" s="210"/>
      <c r="H98" s="210"/>
      <c r="I98" s="210"/>
      <c r="J98" s="210"/>
      <c r="K98" s="210"/>
      <c r="L98" s="210"/>
      <c r="M98" s="210"/>
      <c r="N98" s="210"/>
      <c r="O98" s="196"/>
    </row>
    <row r="99" spans="1:15" s="212" customFormat="1" ht="15.75">
      <c r="A99" s="209" t="str">
        <f ca="1">IF(ISNA(VLOOKUP(D99,'Standard Smelter Names'!$B$3:$E$165,4,FALSE)),"",VLOOKUP(D99,'Standard Smelter Names'!$B$3:$E$165,4,FALSE))</f>
        <v>2IDN027</v>
      </c>
      <c r="B99" s="210" t="s">
        <v>1268</v>
      </c>
      <c r="C99" s="211" t="s">
        <v>2478</v>
      </c>
      <c r="D99" s="211" t="str">
        <f t="shared" si="2"/>
        <v xml:space="preserve">PT Bangka Kudai Tin </v>
      </c>
      <c r="E99" s="210" t="str">
        <f t="shared" si="3"/>
        <v>INDONESIA</v>
      </c>
      <c r="F99" s="210"/>
      <c r="G99" s="210"/>
      <c r="H99" s="210"/>
      <c r="I99" s="210"/>
      <c r="J99" s="210"/>
      <c r="K99" s="210"/>
      <c r="L99" s="210"/>
      <c r="M99" s="210"/>
      <c r="N99" s="210"/>
      <c r="O99" s="196"/>
    </row>
    <row r="100" spans="1:15" s="212" customFormat="1" ht="15.75">
      <c r="A100" s="209" t="str">
        <f ca="1">IF(ISNA(VLOOKUP(D100,'Standard Smelter Names'!$B$3:$E$165,4,FALSE)),"",VLOOKUP(D100,'Standard Smelter Names'!$B$3:$E$165,4,FALSE))</f>
        <v>2IDN028</v>
      </c>
      <c r="B100" s="210" t="s">
        <v>1268</v>
      </c>
      <c r="C100" s="211" t="s">
        <v>2479</v>
      </c>
      <c r="D100" s="211" t="str">
        <f t="shared" si="2"/>
        <v xml:space="preserve">PT Bangka Putra Karya </v>
      </c>
      <c r="E100" s="210" t="str">
        <f t="shared" si="3"/>
        <v>INDONESIA</v>
      </c>
      <c r="F100" s="210"/>
      <c r="G100" s="210"/>
      <c r="H100" s="210"/>
      <c r="I100" s="224" t="s">
        <v>245</v>
      </c>
      <c r="J100" s="224" t="s">
        <v>246</v>
      </c>
      <c r="K100" s="210"/>
      <c r="L100" s="210"/>
      <c r="M100" s="210"/>
      <c r="N100" s="210"/>
      <c r="O100" s="196"/>
    </row>
    <row r="101" spans="1:15" s="212" customFormat="1" ht="15.75">
      <c r="A101" s="209" t="str">
        <f ca="1">IF(ISNA(VLOOKUP(D101,'Standard Smelter Names'!$B$3:$E$165,4,FALSE)),"",VLOOKUP(D101,'Standard Smelter Names'!$B$3:$E$165,4,FALSE))</f>
        <v>2IDN030</v>
      </c>
      <c r="B101" s="210" t="s">
        <v>1268</v>
      </c>
      <c r="C101" s="211" t="s">
        <v>2481</v>
      </c>
      <c r="D101" s="211" t="str">
        <f t="shared" si="2"/>
        <v xml:space="preserve">PT Belitung Industri Sejahtera </v>
      </c>
      <c r="E101" s="210" t="str">
        <f t="shared" si="3"/>
        <v>INDONESIA</v>
      </c>
      <c r="F101" s="210"/>
      <c r="G101" s="210"/>
      <c r="H101" s="210"/>
      <c r="I101" s="210"/>
      <c r="J101" s="210"/>
      <c r="K101" s="210"/>
      <c r="L101" s="210"/>
      <c r="M101" s="210"/>
      <c r="N101" s="210"/>
      <c r="O101" s="196"/>
    </row>
    <row r="102" spans="1:15" s="212" customFormat="1" ht="15.75">
      <c r="A102" s="209" t="str">
        <f ca="1">IF(ISNA(VLOOKUP(D102,'Standard Smelter Names'!$B$3:$E$165,4,FALSE)),"",VLOOKUP(D102,'Standard Smelter Names'!$B$3:$E$165,4,FALSE))</f>
        <v>2IDN031</v>
      </c>
      <c r="B102" s="210" t="s">
        <v>1268</v>
      </c>
      <c r="C102" s="211" t="s">
        <v>2482</v>
      </c>
      <c r="D102" s="211" t="str">
        <f t="shared" si="2"/>
        <v xml:space="preserve">PT BilliTin Makmur Lestari </v>
      </c>
      <c r="E102" s="210" t="str">
        <f t="shared" si="3"/>
        <v>INDONESIA</v>
      </c>
      <c r="F102" s="210"/>
      <c r="G102" s="210"/>
      <c r="H102" s="210"/>
      <c r="I102" s="210"/>
      <c r="J102" s="210"/>
      <c r="K102" s="210"/>
      <c r="L102" s="210"/>
      <c r="M102" s="210"/>
      <c r="N102" s="210"/>
      <c r="O102" s="196"/>
    </row>
    <row r="103" spans="1:15" s="212" customFormat="1" ht="15.75">
      <c r="A103" s="209" t="str">
        <f ca="1">IF(ISNA(VLOOKUP(D103,'Standard Smelter Names'!$B$3:$E$165,4,FALSE)),"",VLOOKUP(D103,'Standard Smelter Names'!$B$3:$E$165,4,FALSE))</f>
        <v>2IDN032</v>
      </c>
      <c r="B103" s="210" t="s">
        <v>1268</v>
      </c>
      <c r="C103" s="211" t="s">
        <v>2483</v>
      </c>
      <c r="D103" s="211" t="str">
        <f t="shared" si="2"/>
        <v xml:space="preserve">PT Bukit Timah </v>
      </c>
      <c r="E103" s="210" t="str">
        <f t="shared" si="3"/>
        <v>INDONESIA</v>
      </c>
      <c r="F103" s="210"/>
      <c r="G103" s="210"/>
      <c r="H103" s="210"/>
      <c r="I103" s="210"/>
      <c r="J103" s="210"/>
      <c r="K103" s="210"/>
      <c r="L103" s="210"/>
      <c r="M103" s="210"/>
      <c r="N103" s="210"/>
      <c r="O103" s="196"/>
    </row>
    <row r="104" spans="1:15" s="212" customFormat="1" ht="15.75">
      <c r="A104" s="209" t="str">
        <f ca="1">IF(ISNA(VLOOKUP(D104,'Standard Smelter Names'!$B$3:$E$165,4,FALSE)),"",VLOOKUP(D104,'Standard Smelter Names'!$B$3:$E$165,4,FALSE))</f>
        <v>2IDN033</v>
      </c>
      <c r="B104" s="210" t="s">
        <v>1268</v>
      </c>
      <c r="C104" s="211" t="s">
        <v>2484</v>
      </c>
      <c r="D104" s="211" t="str">
        <f t="shared" si="2"/>
        <v xml:space="preserve">PT Eunindo Usaha Mandiri </v>
      </c>
      <c r="E104" s="210" t="str">
        <f t="shared" si="3"/>
        <v>INDONESIA</v>
      </c>
      <c r="F104" s="210"/>
      <c r="G104" s="210"/>
      <c r="H104" s="210"/>
      <c r="I104" s="210"/>
      <c r="J104" s="210"/>
      <c r="K104" s="210"/>
      <c r="L104" s="210"/>
      <c r="M104" s="210"/>
      <c r="N104" s="210"/>
      <c r="O104" s="196"/>
    </row>
    <row r="105" spans="1:15" s="212" customFormat="1" ht="15.75">
      <c r="A105" s="209" t="str">
        <f ca="1">IF(ISNA(VLOOKUP(D105,'Standard Smelter Names'!$B$3:$E$165,4,FALSE)),"",VLOOKUP(D105,'Standard Smelter Names'!$B$3:$E$165,4,FALSE))</f>
        <v>2IDN034</v>
      </c>
      <c r="B105" s="210" t="s">
        <v>1268</v>
      </c>
      <c r="C105" s="211" t="s">
        <v>2485</v>
      </c>
      <c r="D105" s="211" t="str">
        <f t="shared" si="2"/>
        <v>PT Fang Di MulTindo</v>
      </c>
      <c r="E105" s="210" t="str">
        <f t="shared" si="3"/>
        <v>INDONESIA</v>
      </c>
      <c r="F105" s="210"/>
      <c r="G105" s="210"/>
      <c r="H105" s="210"/>
      <c r="I105" s="210"/>
      <c r="J105" s="210"/>
      <c r="K105" s="210"/>
      <c r="L105" s="210"/>
      <c r="M105" s="210"/>
      <c r="N105" s="210"/>
      <c r="O105" s="196"/>
    </row>
    <row r="106" spans="1:15" s="212" customFormat="1" ht="15.75">
      <c r="A106" s="209" t="str">
        <f ca="1">IF(ISNA(VLOOKUP(D106,'Standard Smelter Names'!$B$3:$E$165,4,FALSE)),"",VLOOKUP(D106,'Standard Smelter Names'!$B$3:$E$165,4,FALSE))</f>
        <v>2IDN035</v>
      </c>
      <c r="B106" s="210" t="s">
        <v>1268</v>
      </c>
      <c r="C106" s="211" t="s">
        <v>2486</v>
      </c>
      <c r="D106" s="211" t="str">
        <f t="shared" si="2"/>
        <v xml:space="preserve">PT HP Metals Indonesia </v>
      </c>
      <c r="E106" s="210" t="str">
        <f t="shared" si="3"/>
        <v>INDONESIA</v>
      </c>
      <c r="F106" s="210"/>
      <c r="G106" s="210"/>
      <c r="H106" s="210"/>
      <c r="I106" s="210"/>
      <c r="J106" s="210"/>
      <c r="K106" s="210"/>
      <c r="L106" s="210"/>
      <c r="M106" s="210"/>
      <c r="N106" s="210"/>
      <c r="O106" s="196"/>
    </row>
    <row r="107" spans="1:15" s="212" customFormat="1" ht="15.75">
      <c r="A107" s="209" t="str">
        <f ca="1">IF(ISNA(VLOOKUP(D107,'Standard Smelter Names'!$B$3:$E$165,4,FALSE)),"",VLOOKUP(D107,'Standard Smelter Names'!$B$3:$E$165,4,FALSE))</f>
        <v/>
      </c>
      <c r="B107" s="210" t="s">
        <v>1268</v>
      </c>
      <c r="C107" s="211" t="s">
        <v>569</v>
      </c>
      <c r="D107" s="223" t="s">
        <v>247</v>
      </c>
      <c r="E107" s="210" t="s">
        <v>2302</v>
      </c>
      <c r="F107" s="210"/>
      <c r="G107" s="210"/>
      <c r="H107" s="210"/>
      <c r="I107" s="210"/>
      <c r="J107" s="210"/>
      <c r="K107" s="210"/>
      <c r="L107" s="210"/>
      <c r="M107" s="210"/>
      <c r="N107" s="210"/>
      <c r="O107" s="196"/>
    </row>
    <row r="108" spans="1:15" s="212" customFormat="1" ht="15.75">
      <c r="A108" s="209" t="str">
        <f ca="1">IF(ISNA(VLOOKUP(D108,'Standard Smelter Names'!$B$3:$E$165,4,FALSE)),"",VLOOKUP(D108,'Standard Smelter Names'!$B$3:$E$165,4,FALSE))</f>
        <v>2IDN036</v>
      </c>
      <c r="B108" s="210" t="s">
        <v>1268</v>
      </c>
      <c r="C108" s="211" t="s">
        <v>2487</v>
      </c>
      <c r="D108" s="211" t="str">
        <f t="shared" si="2"/>
        <v xml:space="preserve">PT Koba Tin </v>
      </c>
      <c r="E108" s="210" t="str">
        <f t="shared" si="3"/>
        <v>INDONESIA</v>
      </c>
      <c r="F108" s="210"/>
      <c r="G108" s="210"/>
      <c r="H108" s="210"/>
      <c r="I108" s="224" t="s">
        <v>248</v>
      </c>
      <c r="J108" s="224" t="s">
        <v>249</v>
      </c>
      <c r="K108" s="210"/>
      <c r="L108" s="210"/>
      <c r="M108" s="210"/>
      <c r="N108" s="210"/>
      <c r="O108" s="196"/>
    </row>
    <row r="109" spans="1:15" s="212" customFormat="1" ht="15.75">
      <c r="A109" s="209" t="str">
        <f ca="1">IF(ISNA(VLOOKUP(D109,'Standard Smelter Names'!$B$3:$E$165,4,FALSE)),"",VLOOKUP(D109,'Standard Smelter Names'!$B$3:$E$165,4,FALSE))</f>
        <v>2IDN037</v>
      </c>
      <c r="B109" s="210" t="s">
        <v>1268</v>
      </c>
      <c r="C109" s="211" t="s">
        <v>2488</v>
      </c>
      <c r="D109" s="211" t="str">
        <f t="shared" si="2"/>
        <v xml:space="preserve">PT Mitra Stania Prima </v>
      </c>
      <c r="E109" s="210" t="str">
        <f t="shared" si="3"/>
        <v>INDONESIA</v>
      </c>
      <c r="F109" s="210"/>
      <c r="G109" s="210"/>
      <c r="H109" s="210"/>
      <c r="I109" s="210"/>
      <c r="J109" s="210"/>
      <c r="K109" s="210"/>
      <c r="L109" s="210"/>
      <c r="M109" s="210"/>
      <c r="N109" s="210"/>
      <c r="O109" s="196"/>
    </row>
    <row r="110" spans="1:15" s="212" customFormat="1" ht="15.75">
      <c r="A110" s="209" t="str">
        <f ca="1">IF(ISNA(VLOOKUP(D110,'Standard Smelter Names'!$B$3:$E$165,4,FALSE)),"",VLOOKUP(D110,'Standard Smelter Names'!$B$3:$E$165,4,FALSE))</f>
        <v>2IDN038</v>
      </c>
      <c r="B110" s="210" t="s">
        <v>1268</v>
      </c>
      <c r="C110" s="211" t="s">
        <v>2489</v>
      </c>
      <c r="D110" s="211" t="str">
        <f t="shared" si="2"/>
        <v xml:space="preserve">PT Refined Banka Tin </v>
      </c>
      <c r="E110" s="210" t="str">
        <f t="shared" si="3"/>
        <v>INDONESIA</v>
      </c>
      <c r="F110" s="210"/>
      <c r="G110" s="210"/>
      <c r="H110" s="210"/>
      <c r="I110" s="210"/>
      <c r="J110" s="210"/>
      <c r="K110" s="210"/>
      <c r="L110" s="210"/>
      <c r="M110" s="210"/>
      <c r="N110" s="210"/>
      <c r="O110" s="196"/>
    </row>
    <row r="111" spans="1:15" s="212" customFormat="1" ht="15.75">
      <c r="A111" s="209" t="str">
        <f ca="1">IF(ISNA(VLOOKUP(D111,'Standard Smelter Names'!$B$3:$E$165,4,FALSE)),"",VLOOKUP(D111,'Standard Smelter Names'!$B$3:$E$165,4,FALSE))</f>
        <v>2IDN039</v>
      </c>
      <c r="B111" s="210" t="s">
        <v>1268</v>
      </c>
      <c r="C111" s="211" t="s">
        <v>2490</v>
      </c>
      <c r="D111" s="211" t="str">
        <f t="shared" si="2"/>
        <v xml:space="preserve">PT Sariwiguna Binasentosa </v>
      </c>
      <c r="E111" s="210" t="str">
        <f t="shared" si="3"/>
        <v>INDONESIA</v>
      </c>
      <c r="F111" s="210"/>
      <c r="G111" s="210"/>
      <c r="H111" s="210"/>
      <c r="I111" s="210"/>
      <c r="J111" s="210"/>
      <c r="K111" s="210"/>
      <c r="L111" s="210"/>
      <c r="M111" s="210"/>
      <c r="N111" s="210"/>
      <c r="O111" s="196"/>
    </row>
    <row r="112" spans="1:15" s="212" customFormat="1" ht="15.75">
      <c r="A112" s="209" t="str">
        <f ca="1">IF(ISNA(VLOOKUP(D112,'Standard Smelter Names'!$B$3:$E$165,4,FALSE)),"",VLOOKUP(D112,'Standard Smelter Names'!$B$3:$E$165,4,FALSE))</f>
        <v/>
      </c>
      <c r="B112" s="210" t="s">
        <v>1268</v>
      </c>
      <c r="C112" s="211" t="s">
        <v>2491</v>
      </c>
      <c r="D112" s="211" t="str">
        <f t="shared" si="2"/>
        <v xml:space="preserve">PT Stanindo Inti Perkasa                        </v>
      </c>
      <c r="E112" s="210" t="str">
        <f t="shared" si="3"/>
        <v>INDONESIA</v>
      </c>
      <c r="F112" s="210"/>
      <c r="G112" s="210"/>
      <c r="H112" s="210"/>
      <c r="I112" s="224" t="s">
        <v>250</v>
      </c>
      <c r="J112" s="224" t="s">
        <v>251</v>
      </c>
      <c r="K112" s="210"/>
      <c r="L112" s="210"/>
      <c r="M112" s="210"/>
      <c r="N112" s="210"/>
      <c r="O112" s="196"/>
    </row>
    <row r="113" spans="1:15" s="212" customFormat="1" ht="15.75">
      <c r="A113" s="209" t="str">
        <f ca="1">IF(ISNA(VLOOKUP(D113,'Standard Smelter Names'!$B$3:$E$165,4,FALSE)),"",VLOOKUP(D113,'Standard Smelter Names'!$B$3:$E$165,4,FALSE))</f>
        <v/>
      </c>
      <c r="B113" s="210" t="s">
        <v>1268</v>
      </c>
      <c r="C113" s="211" t="s">
        <v>2492</v>
      </c>
      <c r="D113" s="211" t="str">
        <f t="shared" si="2"/>
        <v xml:space="preserve">PT Sumber Jaya Indah </v>
      </c>
      <c r="E113" s="210" t="str">
        <f t="shared" si="3"/>
        <v>INDONESIA</v>
      </c>
      <c r="F113" s="210"/>
      <c r="G113" s="210"/>
      <c r="H113" s="210"/>
      <c r="I113" s="210"/>
      <c r="J113" s="210"/>
      <c r="K113" s="210"/>
      <c r="L113" s="210"/>
      <c r="M113" s="210"/>
      <c r="N113" s="210"/>
      <c r="O113" s="196"/>
    </row>
    <row r="114" spans="1:15" s="212" customFormat="1" ht="15.75">
      <c r="A114" s="209" t="str">
        <f ca="1">IF(ISNA(VLOOKUP(D114,'Standard Smelter Names'!$B$3:$E$165,4,FALSE)),"",VLOOKUP(D114,'Standard Smelter Names'!$B$3:$E$165,4,FALSE))</f>
        <v>2IDN049</v>
      </c>
      <c r="B114" s="210" t="s">
        <v>1268</v>
      </c>
      <c r="C114" s="211" t="s">
        <v>2616</v>
      </c>
      <c r="D114" s="211" t="str">
        <f t="shared" si="2"/>
        <v>PT Tambang Timah</v>
      </c>
      <c r="E114" s="210" t="str">
        <f t="shared" si="3"/>
        <v>INDONESIA</v>
      </c>
      <c r="F114" s="211"/>
      <c r="G114" s="211"/>
      <c r="H114" s="211"/>
      <c r="I114" s="211"/>
      <c r="J114" s="211"/>
      <c r="K114" s="211"/>
      <c r="L114" s="211"/>
      <c r="M114" s="211"/>
      <c r="N114" s="211"/>
      <c r="O114" s="196"/>
    </row>
    <row r="115" spans="1:15" s="212" customFormat="1" ht="15.75">
      <c r="A115" s="209" t="str">
        <f ca="1">IF(ISNA(VLOOKUP(D115,'Standard Smelter Names'!$B$3:$E$165,4,FALSE)),"",VLOOKUP(D115,'Standard Smelter Names'!$B$3:$E$165,4,FALSE))</f>
        <v>1JPN015</v>
      </c>
      <c r="B115" s="210" t="s">
        <v>1267</v>
      </c>
      <c r="C115" s="211" t="s">
        <v>853</v>
      </c>
      <c r="D115" s="211" t="str">
        <f t="shared" si="2"/>
        <v>Dowa</v>
      </c>
      <c r="E115" s="210" t="str">
        <f t="shared" si="3"/>
        <v>JAPAN</v>
      </c>
      <c r="F115" s="211" t="s">
        <v>655</v>
      </c>
      <c r="G115" s="211" t="s">
        <v>252</v>
      </c>
      <c r="H115" s="211" t="s">
        <v>253</v>
      </c>
      <c r="I115" s="211" t="s">
        <v>254</v>
      </c>
      <c r="J115" s="211"/>
      <c r="K115" s="211"/>
      <c r="L115" s="211"/>
      <c r="M115" s="211" t="s">
        <v>255</v>
      </c>
      <c r="N115" s="211" t="s">
        <v>256</v>
      </c>
      <c r="O115" s="196"/>
    </row>
    <row r="116" spans="1:15" s="212" customFormat="1" ht="15.75">
      <c r="A116" s="209" t="str">
        <f ca="1">IF(ISNA(VLOOKUP(D116,'Standard Smelter Names'!$B$3:$E$165,4,FALSE)),"",VLOOKUP(D116,'Standard Smelter Names'!$B$3:$E$165,4,FALSE))</f>
        <v>1HKG019</v>
      </c>
      <c r="B116" s="210" t="s">
        <v>1267</v>
      </c>
      <c r="C116" s="211" t="s">
        <v>862</v>
      </c>
      <c r="D116" s="211" t="str">
        <f t="shared" si="2"/>
        <v>Heraeus Ltd Hong Kong</v>
      </c>
      <c r="E116" s="210" t="str">
        <f t="shared" si="3"/>
        <v>HONG KONG</v>
      </c>
      <c r="F116" s="211" t="s">
        <v>659</v>
      </c>
      <c r="G116" s="211" t="s">
        <v>257</v>
      </c>
      <c r="H116" s="211" t="s">
        <v>2296</v>
      </c>
      <c r="I116" s="211" t="s">
        <v>2296</v>
      </c>
      <c r="J116" s="211" t="s">
        <v>258</v>
      </c>
      <c r="K116" s="211" t="s">
        <v>259</v>
      </c>
      <c r="L116" s="211"/>
      <c r="M116" s="211" t="s">
        <v>260</v>
      </c>
      <c r="N116" s="211" t="s">
        <v>261</v>
      </c>
      <c r="O116" s="196"/>
    </row>
    <row r="117" spans="1:15" s="212" customFormat="1" ht="15.75">
      <c r="A117" s="209" t="str">
        <f ca="1">IF(ISNA(VLOOKUP(D117,'Standard Smelter Names'!$B$3:$E$165,4,FALSE)),"",VLOOKUP(D117,'Standard Smelter Names'!$B$3:$E$165,4,FALSE))</f>
        <v>1USA033</v>
      </c>
      <c r="B117" s="210" t="s">
        <v>1267</v>
      </c>
      <c r="C117" s="211" t="s">
        <v>598</v>
      </c>
      <c r="D117" s="211" t="str">
        <f t="shared" si="2"/>
        <v>Materion</v>
      </c>
      <c r="E117" s="210" t="str">
        <f t="shared" si="3"/>
        <v>UNITED STATES</v>
      </c>
      <c r="F117" s="211"/>
      <c r="G117" s="211"/>
      <c r="H117" s="211"/>
      <c r="I117" s="211"/>
      <c r="J117" s="211"/>
      <c r="K117" s="211"/>
      <c r="L117" s="211"/>
      <c r="M117" s="211"/>
      <c r="N117" s="211"/>
      <c r="O117" s="196"/>
    </row>
    <row r="118" spans="1:15" s="212" customFormat="1" ht="15.75">
      <c r="A118" s="209" t="str">
        <f ca="1">IF(ISNA(VLOOKUP(D118,'Standard Smelter Names'!$B$3:$E$165,4,FALSE)),"",VLOOKUP(D118,'Standard Smelter Names'!$B$3:$E$165,4,FALSE))</f>
        <v>1JPN071</v>
      </c>
      <c r="B118" s="210" t="s">
        <v>1267</v>
      </c>
      <c r="C118" s="211" t="s">
        <v>42</v>
      </c>
      <c r="D118" s="211" t="str">
        <f t="shared" si="2"/>
        <v>Nihon Material Co. LTD</v>
      </c>
      <c r="E118" s="210" t="str">
        <f t="shared" si="3"/>
        <v>JAPAN</v>
      </c>
      <c r="F118" s="211" t="s">
        <v>49</v>
      </c>
      <c r="G118" s="211" t="s">
        <v>262</v>
      </c>
      <c r="H118" s="211" t="s">
        <v>263</v>
      </c>
      <c r="I118" s="211" t="s">
        <v>264</v>
      </c>
      <c r="J118" s="211"/>
      <c r="K118" s="211"/>
      <c r="L118" s="211"/>
      <c r="M118" s="211"/>
      <c r="N118" s="211"/>
      <c r="O118" s="196"/>
    </row>
    <row r="119" spans="1:15" s="212" customFormat="1" ht="15.75">
      <c r="A119" s="209" t="str">
        <f ca="1">IF(ISNA(VLOOKUP(D119,'Standard Smelter Names'!$B$3:$E$165,4,FALSE)),"",VLOOKUP(D119,'Standard Smelter Names'!$B$3:$E$165,4,FALSE))</f>
        <v/>
      </c>
      <c r="B119" s="210" t="s">
        <v>1267</v>
      </c>
      <c r="C119" s="211" t="s">
        <v>451</v>
      </c>
      <c r="D119" s="211" t="str">
        <f t="shared" si="2"/>
        <v>Ohio Precious Metals</v>
      </c>
      <c r="E119" s="210" t="str">
        <f t="shared" si="3"/>
        <v>UNITED STATES</v>
      </c>
      <c r="F119" s="211"/>
      <c r="G119" s="211"/>
      <c r="H119" s="211"/>
      <c r="I119" s="211"/>
      <c r="J119" s="211"/>
      <c r="K119" s="211"/>
      <c r="L119" s="211"/>
      <c r="M119" s="211"/>
      <c r="N119" s="211"/>
      <c r="O119" s="196"/>
    </row>
    <row r="120" spans="1:15" s="212" customFormat="1" ht="15.75">
      <c r="A120" s="209" t="str">
        <f ca="1">IF(ISNA(VLOOKUP(D120,'Standard Smelter Names'!$B$3:$E$165,4,FALSE)),"",VLOOKUP(D120,'Standard Smelter Names'!$B$3:$E$165,4,FALSE))</f>
        <v/>
      </c>
      <c r="B120" s="210" t="s">
        <v>1267</v>
      </c>
      <c r="C120" s="211" t="s">
        <v>569</v>
      </c>
      <c r="D120" s="211" t="s">
        <v>265</v>
      </c>
      <c r="E120" s="210" t="s">
        <v>2320</v>
      </c>
      <c r="F120" s="211" t="s">
        <v>266</v>
      </c>
      <c r="G120" s="211" t="s">
        <v>267</v>
      </c>
      <c r="H120" s="211" t="s">
        <v>268</v>
      </c>
      <c r="I120" s="211" t="s">
        <v>269</v>
      </c>
      <c r="J120" s="211" t="s">
        <v>270</v>
      </c>
      <c r="K120" s="211"/>
      <c r="L120" s="211" t="s">
        <v>271</v>
      </c>
      <c r="M120" s="211" t="s">
        <v>271</v>
      </c>
      <c r="N120" s="211" t="s">
        <v>272</v>
      </c>
      <c r="O120" s="196"/>
    </row>
    <row r="121" spans="1:15" s="212" customFormat="1" ht="15.75">
      <c r="A121" s="209" t="str">
        <f ca="1">IF(ISNA(VLOOKUP(D121,'Standard Smelter Names'!$B$3:$E$165,4,FALSE)),"",VLOOKUP(D121,'Standard Smelter Names'!$B$3:$E$165,4,FALSE))</f>
        <v/>
      </c>
      <c r="B121" s="210" t="s">
        <v>1267</v>
      </c>
      <c r="C121" s="211" t="s">
        <v>569</v>
      </c>
      <c r="D121" s="211" t="s">
        <v>273</v>
      </c>
      <c r="E121" s="210" t="s">
        <v>2320</v>
      </c>
      <c r="F121" s="211" t="s">
        <v>274</v>
      </c>
      <c r="G121" s="211" t="s">
        <v>275</v>
      </c>
      <c r="H121" s="211" t="s">
        <v>268</v>
      </c>
      <c r="I121" s="211" t="s">
        <v>276</v>
      </c>
      <c r="J121" s="211" t="s">
        <v>277</v>
      </c>
      <c r="K121" s="211"/>
      <c r="L121" s="211" t="s">
        <v>271</v>
      </c>
      <c r="M121" s="211" t="s">
        <v>271</v>
      </c>
      <c r="N121" s="211" t="s">
        <v>272</v>
      </c>
      <c r="O121" s="196"/>
    </row>
    <row r="122" spans="1:15" s="212" customFormat="1" ht="15.75">
      <c r="A122" s="209" t="str">
        <f ca="1">IF(ISNA(VLOOKUP(D122,'Standard Smelter Names'!$B$3:$E$165,4,FALSE)),"",VLOOKUP(D122,'Standard Smelter Names'!$B$3:$E$165,4,FALSE))</f>
        <v/>
      </c>
      <c r="B122" s="210" t="s">
        <v>1267</v>
      </c>
      <c r="C122" s="211" t="s">
        <v>569</v>
      </c>
      <c r="D122" s="211" t="s">
        <v>278</v>
      </c>
      <c r="E122" s="210" t="s">
        <v>2320</v>
      </c>
      <c r="F122" s="211" t="s">
        <v>279</v>
      </c>
      <c r="G122" s="211" t="s">
        <v>267</v>
      </c>
      <c r="H122" s="211" t="s">
        <v>268</v>
      </c>
      <c r="I122" s="211" t="s">
        <v>280</v>
      </c>
      <c r="J122" s="211" t="s">
        <v>281</v>
      </c>
      <c r="K122" s="210"/>
      <c r="L122" s="211" t="s">
        <v>271</v>
      </c>
      <c r="M122" s="211" t="s">
        <v>271</v>
      </c>
      <c r="N122" s="211" t="s">
        <v>272</v>
      </c>
      <c r="O122" s="196"/>
    </row>
    <row r="123" spans="1:15" s="212" customFormat="1" ht="15.75">
      <c r="A123" s="209" t="str">
        <f ca="1">IF(ISNA(VLOOKUP(D123,'Standard Smelter Names'!$B$3:$E$165,4,FALSE)),"",VLOOKUP(D123,'Standard Smelter Names'!$B$3:$E$165,4,FALSE))</f>
        <v/>
      </c>
      <c r="B123" s="210" t="s">
        <v>1267</v>
      </c>
      <c r="C123" s="211" t="s">
        <v>569</v>
      </c>
      <c r="D123" s="211" t="s">
        <v>282</v>
      </c>
      <c r="E123" s="210" t="s">
        <v>2320</v>
      </c>
      <c r="F123" s="211" t="s">
        <v>283</v>
      </c>
      <c r="G123" s="211" t="s">
        <v>284</v>
      </c>
      <c r="H123" s="211" t="s">
        <v>268</v>
      </c>
      <c r="I123" s="211" t="s">
        <v>285</v>
      </c>
      <c r="J123" s="211" t="s">
        <v>286</v>
      </c>
      <c r="K123" s="211"/>
      <c r="L123" s="211" t="s">
        <v>271</v>
      </c>
      <c r="M123" s="211" t="s">
        <v>271</v>
      </c>
      <c r="N123" s="211" t="s">
        <v>272</v>
      </c>
      <c r="O123" s="196"/>
    </row>
    <row r="124" spans="1:15" s="212" customFormat="1" ht="15.75">
      <c r="A124" s="209" t="str">
        <f ca="1">IF(ISNA(VLOOKUP(D124,'Standard Smelter Names'!$B$3:$E$165,4,FALSE)),"",VLOOKUP(D124,'Standard Smelter Names'!$B$3:$E$165,4,FALSE))</f>
        <v/>
      </c>
      <c r="B124" s="211" t="s">
        <v>1267</v>
      </c>
      <c r="C124" s="211" t="s">
        <v>569</v>
      </c>
      <c r="D124" s="211" t="s">
        <v>287</v>
      </c>
      <c r="E124" s="210" t="s">
        <v>2320</v>
      </c>
      <c r="F124" s="211" t="s">
        <v>289</v>
      </c>
      <c r="G124" s="211" t="s">
        <v>290</v>
      </c>
      <c r="H124" s="211" t="s">
        <v>268</v>
      </c>
      <c r="I124" s="211" t="s">
        <v>291</v>
      </c>
      <c r="J124" s="211" t="s">
        <v>292</v>
      </c>
      <c r="K124" s="211"/>
      <c r="L124" s="211" t="s">
        <v>271</v>
      </c>
      <c r="M124" s="211" t="s">
        <v>271</v>
      </c>
      <c r="N124" s="210" t="s">
        <v>272</v>
      </c>
      <c r="O124" s="196"/>
    </row>
    <row r="125" spans="1:15" s="212" customFormat="1" ht="15.75">
      <c r="A125" s="209" t="str">
        <f ca="1">IF(ISNA(VLOOKUP(D125,'Standard Smelter Names'!$B$3:$E$165,4,FALSE)),"",VLOOKUP(D125,'Standard Smelter Names'!$B$3:$E$165,4,FALSE))</f>
        <v/>
      </c>
      <c r="B125" s="211" t="s">
        <v>1267</v>
      </c>
      <c r="C125" s="211" t="s">
        <v>569</v>
      </c>
      <c r="D125" s="211" t="s">
        <v>288</v>
      </c>
      <c r="E125" s="210" t="s">
        <v>2320</v>
      </c>
      <c r="F125" s="211" t="s">
        <v>293</v>
      </c>
      <c r="G125" s="211" t="s">
        <v>294</v>
      </c>
      <c r="H125" s="211" t="s">
        <v>268</v>
      </c>
      <c r="I125" s="211" t="s">
        <v>295</v>
      </c>
      <c r="J125" s="211" t="s">
        <v>296</v>
      </c>
      <c r="K125" s="210"/>
      <c r="L125" s="210" t="s">
        <v>271</v>
      </c>
      <c r="M125" s="210" t="s">
        <v>271</v>
      </c>
      <c r="N125" s="210" t="s">
        <v>272</v>
      </c>
      <c r="O125" s="196"/>
    </row>
    <row r="126" spans="1:15" s="212" customFormat="1" ht="15.75">
      <c r="A126" s="209" t="str">
        <f ca="1">IF(ISNA(VLOOKUP(D126,'Standard Smelter Names'!$B$3:$E$165,4,FALSE)),"",VLOOKUP(D126,'Standard Smelter Names'!$B$3:$E$165,4,FALSE))</f>
        <v/>
      </c>
      <c r="B126" s="210" t="s">
        <v>1267</v>
      </c>
      <c r="C126" s="211" t="s">
        <v>569</v>
      </c>
      <c r="D126" s="211" t="s">
        <v>297</v>
      </c>
      <c r="E126" s="210" t="s">
        <v>2320</v>
      </c>
      <c r="F126" s="211" t="s">
        <v>298</v>
      </c>
      <c r="G126" s="211" t="s">
        <v>290</v>
      </c>
      <c r="H126" s="211" t="s">
        <v>268</v>
      </c>
      <c r="I126" s="211" t="s">
        <v>299</v>
      </c>
      <c r="J126" s="211" t="s">
        <v>300</v>
      </c>
      <c r="K126" s="210"/>
      <c r="L126" s="210" t="s">
        <v>271</v>
      </c>
      <c r="M126" s="210" t="s">
        <v>271</v>
      </c>
      <c r="N126" s="210" t="s">
        <v>272</v>
      </c>
      <c r="O126" s="196"/>
    </row>
    <row r="127" spans="1:15" s="212" customFormat="1" ht="15.75">
      <c r="A127" s="209" t="str">
        <f ca="1">IF(ISNA(VLOOKUP(D127,'Standard Smelter Names'!$B$3:$E$165,4,FALSE)),"",VLOOKUP(D127,'Standard Smelter Names'!$B$3:$E$165,4,FALSE))</f>
        <v/>
      </c>
      <c r="B127" s="210" t="s">
        <v>1267</v>
      </c>
      <c r="C127" s="211" t="s">
        <v>569</v>
      </c>
      <c r="D127" s="211" t="s">
        <v>301</v>
      </c>
      <c r="E127" s="210" t="s">
        <v>2245</v>
      </c>
      <c r="F127" s="210"/>
      <c r="G127" s="210"/>
      <c r="H127" s="210"/>
      <c r="I127" s="211" t="s">
        <v>302</v>
      </c>
      <c r="J127" s="211" t="s">
        <v>303</v>
      </c>
      <c r="K127" s="211"/>
      <c r="L127" s="211" t="s">
        <v>301</v>
      </c>
      <c r="M127" s="211" t="s">
        <v>301</v>
      </c>
      <c r="N127" s="211" t="s">
        <v>304</v>
      </c>
      <c r="O127" s="196"/>
    </row>
    <row r="128" spans="1:15" s="212" customFormat="1" ht="15.75">
      <c r="A128" s="209" t="str">
        <f ca="1">IF(ISNA(VLOOKUP(D128,'Standard Smelter Names'!$B$3:$E$165,4,FALSE)),"",VLOOKUP(D128,'Standard Smelter Names'!$B$3:$E$165,4,FALSE))</f>
        <v>1DEU018</v>
      </c>
      <c r="B128" s="210" t="s">
        <v>1267</v>
      </c>
      <c r="C128" s="211" t="s">
        <v>861</v>
      </c>
      <c r="D128" s="211" t="s">
        <v>586</v>
      </c>
      <c r="E128" s="210" t="s">
        <v>2259</v>
      </c>
      <c r="F128" s="210"/>
      <c r="G128" s="210"/>
      <c r="H128" s="210"/>
      <c r="I128" s="211"/>
      <c r="J128" s="211"/>
      <c r="K128" s="211"/>
      <c r="L128" s="211"/>
      <c r="M128" s="211"/>
      <c r="N128" s="211"/>
      <c r="O128" s="196"/>
    </row>
    <row r="129" spans="1:15" s="212" customFormat="1" ht="15.75">
      <c r="A129" s="209" t="str">
        <f ca="1">IF(ISNA(VLOOKUP(D129,'Standard Smelter Names'!$B$3:$E$165,4,FALSE)),"",VLOOKUP(D129,'Standard Smelter Names'!$B$3:$E$165,4,FALSE))</f>
        <v>1AUS046</v>
      </c>
      <c r="B129" s="210" t="s">
        <v>1267</v>
      </c>
      <c r="C129" s="211" t="s">
        <v>1265</v>
      </c>
      <c r="D129" s="211" t="str">
        <f t="shared" si="2"/>
        <v>Western Australian Mint trading as The Perth Mint</v>
      </c>
      <c r="E129" s="210" t="str">
        <f t="shared" si="3"/>
        <v>AUSTRALIA</v>
      </c>
      <c r="F129" s="210"/>
      <c r="G129" s="210"/>
      <c r="H129" s="210"/>
      <c r="I129" s="211"/>
      <c r="J129" s="211"/>
      <c r="K129" s="211"/>
      <c r="L129" s="211"/>
      <c r="M129" s="211"/>
      <c r="N129" s="211"/>
      <c r="O129" s="196"/>
    </row>
    <row r="130" spans="1:15" s="212" customFormat="1" ht="15.75">
      <c r="A130" s="209" t="str">
        <f ca="1">IF(ISNA(VLOOKUP(D130,'Standard Smelter Names'!$B$3:$E$165,4,FALSE)),"",VLOOKUP(D130,'Standard Smelter Names'!$B$3:$E$165,4,FALSE))</f>
        <v>3USA005</v>
      </c>
      <c r="B130" s="210" t="s">
        <v>1269</v>
      </c>
      <c r="C130" s="211" t="s">
        <v>917</v>
      </c>
      <c r="D130" s="211" t="str">
        <f t="shared" si="2"/>
        <v>Global Advanced Metals</v>
      </c>
      <c r="E130" s="210" t="str">
        <f t="shared" si="3"/>
        <v>UNITED STATES</v>
      </c>
      <c r="F130" s="210"/>
      <c r="G130" s="210"/>
      <c r="H130" s="210"/>
      <c r="I130" s="211"/>
      <c r="J130" s="211"/>
      <c r="K130" s="211"/>
      <c r="L130" s="211"/>
      <c r="M130" s="211"/>
      <c r="N130" s="211"/>
      <c r="O130" s="196"/>
    </row>
    <row r="131" spans="1:15" s="212" customFormat="1" ht="15.75">
      <c r="A131" s="209" t="str">
        <f ca="1">IF(ISNA(VLOOKUP(D131,'Standard Smelter Names'!$B$3:$E$165,4,FALSE)),"",VLOOKUP(D131,'Standard Smelter Names'!$B$3:$E$165,4,FALSE))</f>
        <v>3USA005</v>
      </c>
      <c r="B131" s="210" t="s">
        <v>1269</v>
      </c>
      <c r="C131" s="211" t="s">
        <v>2612</v>
      </c>
      <c r="D131" s="211" t="str">
        <f t="shared" si="2"/>
        <v>Global Advanced Metals</v>
      </c>
      <c r="E131" s="210" t="str">
        <f t="shared" si="3"/>
        <v>UNITED STATES</v>
      </c>
      <c r="F131" s="210"/>
      <c r="G131" s="210"/>
      <c r="H131" s="210"/>
      <c r="I131" s="210"/>
      <c r="J131" s="210"/>
      <c r="K131" s="210"/>
      <c r="L131" s="210"/>
      <c r="M131" s="210"/>
      <c r="N131" s="210"/>
      <c r="O131" s="196"/>
    </row>
    <row r="132" spans="1:15" s="212" customFormat="1" ht="15.75">
      <c r="A132" s="209" t="str">
        <f ca="1">IF(ISNA(VLOOKUP(D132,'Standard Smelter Names'!$B$3:$E$165,4,FALSE)),"",VLOOKUP(D132,'Standard Smelter Names'!$B$3:$E$165,4,FALSE))</f>
        <v>3JPN008</v>
      </c>
      <c r="B132" s="210" t="s">
        <v>1269</v>
      </c>
      <c r="C132" s="211" t="s">
        <v>455</v>
      </c>
      <c r="D132" s="211" t="str">
        <f t="shared" si="2"/>
        <v>Mitsui Mining &amp; Smelting</v>
      </c>
      <c r="E132" s="210" t="str">
        <f t="shared" si="3"/>
        <v>JAPAN</v>
      </c>
      <c r="F132" s="210"/>
      <c r="G132" s="210"/>
      <c r="H132" s="210"/>
      <c r="I132" s="210"/>
      <c r="J132" s="210"/>
      <c r="K132" s="210"/>
      <c r="L132" s="210"/>
      <c r="M132" s="210"/>
      <c r="N132" s="210"/>
      <c r="O132" s="196"/>
    </row>
    <row r="133" spans="1:15" s="212" customFormat="1" ht="15.75">
      <c r="A133" s="209" t="str">
        <f ca="1">IF(ISNA(VLOOKUP(D133,'Standard Smelter Names'!$B$3:$E$165,4,FALSE)),"",VLOOKUP(D133,'Standard Smelter Names'!$B$3:$E$165,4,FALSE))</f>
        <v>3USA004</v>
      </c>
      <c r="B133" s="210" t="s">
        <v>1269</v>
      </c>
      <c r="C133" s="211" t="s">
        <v>2467</v>
      </c>
      <c r="D133" s="211" t="str">
        <f t="shared" ref="D133:D196" si="4">IF(ISNA(VLOOKUP(C133,$G$1023:$I$1379,3,FALSE)),"",VLOOKUP(C133,$G$1023:$I$1379,3,FALSE))</f>
        <v>Gannon &amp; Scott</v>
      </c>
      <c r="E133" s="210" t="str">
        <f t="shared" ref="E133:E196" si="5">IF(ISNA(VLOOKUP(C133,$G$1023:$I$1379,2,FALSE)),"",VLOOKUP(C133,$G$1023:$I$1379,2,FALSE))</f>
        <v>UNITED STATES</v>
      </c>
      <c r="F133" s="210"/>
      <c r="G133" s="210"/>
      <c r="H133" s="210"/>
      <c r="I133" s="210"/>
      <c r="J133" s="210"/>
      <c r="K133" s="210"/>
      <c r="L133" s="210"/>
      <c r="M133" s="210"/>
      <c r="N133" s="210"/>
      <c r="O133" s="196"/>
    </row>
    <row r="134" spans="1:15" s="212" customFormat="1" ht="15.75">
      <c r="A134" s="209" t="str">
        <f ca="1">IF(ISNA(VLOOKUP(D134,'Standard Smelter Names'!$B$3:$E$165,4,FALSE)),"",VLOOKUP(D134,'Standard Smelter Names'!$B$3:$E$165,4,FALSE))</f>
        <v>3KAZ014</v>
      </c>
      <c r="B134" s="210" t="s">
        <v>1269</v>
      </c>
      <c r="C134" s="211" t="s">
        <v>457</v>
      </c>
      <c r="D134" s="211" t="str">
        <f t="shared" si="4"/>
        <v>Ulba</v>
      </c>
      <c r="E134" s="210" t="str">
        <f t="shared" si="5"/>
        <v>KAZAKHSTAN</v>
      </c>
      <c r="F134" s="210"/>
      <c r="G134" s="210"/>
      <c r="H134" s="210"/>
      <c r="I134" s="210"/>
      <c r="J134" s="210"/>
      <c r="K134" s="210"/>
      <c r="L134" s="210"/>
      <c r="M134" s="210"/>
      <c r="N134" s="210"/>
      <c r="O134" s="196"/>
    </row>
    <row r="135" spans="1:15" s="212" customFormat="1" ht="15.75">
      <c r="A135" s="209" t="str">
        <f ca="1">IF(ISNA(VLOOKUP(D135,'Standard Smelter Names'!$B$3:$E$165,4,FALSE)),"",VLOOKUP(D135,'Standard Smelter Names'!$B$3:$E$165,4,FALSE))</f>
        <v>2IDN043</v>
      </c>
      <c r="B135" s="210" t="s">
        <v>1268</v>
      </c>
      <c r="C135" s="211" t="s">
        <v>2493</v>
      </c>
      <c r="D135" s="211" t="str">
        <f t="shared" si="4"/>
        <v xml:space="preserve">PT Timah Nusantara </v>
      </c>
      <c r="E135" s="210" t="str">
        <f t="shared" si="5"/>
        <v>INDONESIA</v>
      </c>
      <c r="F135" s="210"/>
      <c r="G135" s="210"/>
      <c r="H135" s="210"/>
      <c r="I135" s="210"/>
      <c r="J135" s="210"/>
      <c r="K135" s="210"/>
      <c r="L135" s="210"/>
      <c r="M135" s="210"/>
      <c r="N135" s="210"/>
      <c r="O135" s="196"/>
    </row>
    <row r="136" spans="1:15" s="212" customFormat="1" ht="15.75">
      <c r="A136" s="209" t="str">
        <f ca="1">IF(ISNA(VLOOKUP(D136,'Standard Smelter Names'!$B$3:$E$165,4,FALSE)),"",VLOOKUP(D136,'Standard Smelter Names'!$B$3:$E$165,4,FALSE))</f>
        <v>2IDN044</v>
      </c>
      <c r="B136" s="210" t="s">
        <v>1268</v>
      </c>
      <c r="C136" s="211" t="s">
        <v>2494</v>
      </c>
      <c r="D136" s="211" t="str">
        <f t="shared" si="4"/>
        <v xml:space="preserve">PT Tinindo Inter Nusa </v>
      </c>
      <c r="E136" s="210" t="str">
        <f t="shared" si="5"/>
        <v>INDONESIA</v>
      </c>
      <c r="F136" s="210"/>
      <c r="G136" s="210"/>
      <c r="H136" s="210"/>
      <c r="I136" s="210"/>
      <c r="J136" s="210"/>
      <c r="K136" s="210"/>
      <c r="L136" s="210"/>
      <c r="M136" s="210"/>
      <c r="N136" s="210"/>
      <c r="O136" s="196"/>
    </row>
    <row r="137" spans="1:15" s="212" customFormat="1" ht="15.75">
      <c r="A137" s="209" t="str">
        <f ca="1">IF(ISNA(VLOOKUP(D137,'Standard Smelter Names'!$B$3:$E$165,4,FALSE)),"",VLOOKUP(D137,'Standard Smelter Names'!$B$3:$E$165,4,FALSE))</f>
        <v>2IDN045</v>
      </c>
      <c r="B137" s="210" t="s">
        <v>1268</v>
      </c>
      <c r="C137" s="211" t="s">
        <v>2495</v>
      </c>
      <c r="D137" s="211" t="str">
        <f t="shared" si="4"/>
        <v xml:space="preserve">PT Yinchendo Mining Industry </v>
      </c>
      <c r="E137" s="210" t="str">
        <f t="shared" si="5"/>
        <v>INDONESIA</v>
      </c>
      <c r="F137" s="210"/>
      <c r="G137" s="210"/>
      <c r="H137" s="210"/>
      <c r="I137" s="210"/>
      <c r="J137" s="210"/>
      <c r="K137" s="210"/>
      <c r="L137" s="210"/>
      <c r="M137" s="210"/>
      <c r="N137" s="210"/>
      <c r="O137" s="196"/>
    </row>
    <row r="138" spans="1:15" s="212" customFormat="1" ht="15.75">
      <c r="A138" s="209" t="str">
        <f ca="1">IF(ISNA(VLOOKUP(D138,'Standard Smelter Names'!$B$3:$E$165,4,FALSE)),"",VLOOKUP(D138,'Standard Smelter Names'!$B$3:$E$165,4,FALSE))</f>
        <v/>
      </c>
      <c r="B138" s="210" t="s">
        <v>1268</v>
      </c>
      <c r="C138" s="211" t="s">
        <v>569</v>
      </c>
      <c r="D138" s="211" t="s">
        <v>305</v>
      </c>
      <c r="E138" s="210" t="s">
        <v>2302</v>
      </c>
      <c r="F138" s="210"/>
      <c r="G138" s="210"/>
      <c r="H138" s="210"/>
      <c r="I138" s="210"/>
      <c r="J138" s="210"/>
      <c r="K138" s="210"/>
      <c r="L138" s="210"/>
      <c r="M138" s="210"/>
      <c r="N138" s="210"/>
      <c r="O138" s="196"/>
    </row>
    <row r="139" spans="1:15" s="212" customFormat="1" ht="15.75">
      <c r="A139" s="209" t="str">
        <f ca="1">IF(ISNA(VLOOKUP(D139,'Standard Smelter Names'!$B$3:$E$165,4,FALSE)),"",VLOOKUP(D139,'Standard Smelter Names'!$B$3:$E$165,4,FALSE))</f>
        <v/>
      </c>
      <c r="B139" s="210" t="s">
        <v>1268</v>
      </c>
      <c r="C139" s="211" t="s">
        <v>569</v>
      </c>
      <c r="D139" s="211" t="s">
        <v>306</v>
      </c>
      <c r="E139" s="210" t="s">
        <v>2302</v>
      </c>
      <c r="F139" s="210"/>
      <c r="G139" s="210"/>
      <c r="H139" s="210"/>
      <c r="I139" s="210"/>
      <c r="J139" s="210"/>
      <c r="K139" s="210"/>
      <c r="L139" s="210"/>
      <c r="M139" s="210"/>
      <c r="N139" s="210"/>
      <c r="O139" s="196"/>
    </row>
    <row r="140" spans="1:15" s="212" customFormat="1" ht="15.75">
      <c r="A140" s="209" t="str">
        <f ca="1">IF(ISNA(VLOOKUP(D140,'Standard Smelter Names'!$B$3:$E$165,4,FALSE)),"",VLOOKUP(D140,'Standard Smelter Names'!$B$3:$E$165,4,FALSE))</f>
        <v/>
      </c>
      <c r="B140" s="210" t="s">
        <v>1268</v>
      </c>
      <c r="C140" s="211" t="s">
        <v>569</v>
      </c>
      <c r="D140" s="211" t="s">
        <v>307</v>
      </c>
      <c r="E140" s="210" t="s">
        <v>2420</v>
      </c>
      <c r="F140" s="210"/>
      <c r="G140" s="210"/>
      <c r="H140" s="210"/>
      <c r="I140" s="210"/>
      <c r="J140" s="210"/>
      <c r="K140" s="210"/>
      <c r="L140" s="210"/>
      <c r="M140" s="210"/>
      <c r="N140" s="210"/>
      <c r="O140" s="196"/>
    </row>
    <row r="141" spans="1:15" s="212" customFormat="1" ht="15.75">
      <c r="A141" s="209" t="str">
        <f ca="1">IF(ISNA(VLOOKUP(D141,'Standard Smelter Names'!$B$3:$E$165,4,FALSE)),"",VLOOKUP(D141,'Standard Smelter Names'!$B$3:$E$165,4,FALSE))</f>
        <v/>
      </c>
      <c r="B141" s="210" t="s">
        <v>1268</v>
      </c>
      <c r="C141" s="211" t="s">
        <v>569</v>
      </c>
      <c r="D141" s="211" t="s">
        <v>308</v>
      </c>
      <c r="E141" s="210" t="s">
        <v>2233</v>
      </c>
      <c r="F141" s="210"/>
      <c r="G141" s="210"/>
      <c r="H141" s="210"/>
      <c r="I141" s="210"/>
      <c r="J141" s="210"/>
      <c r="K141" s="210"/>
      <c r="L141" s="210"/>
      <c r="M141" s="210"/>
      <c r="N141" s="210"/>
      <c r="O141" s="196"/>
    </row>
    <row r="142" spans="1:15" s="212" customFormat="1" ht="15.75">
      <c r="A142" s="209" t="str">
        <f ca="1">IF(ISNA(VLOOKUP(D142,'Standard Smelter Names'!$B$3:$E$165,4,FALSE)),"",VLOOKUP(D142,'Standard Smelter Names'!$B$3:$E$165,4,FALSE))</f>
        <v/>
      </c>
      <c r="B142" s="210" t="s">
        <v>1268</v>
      </c>
      <c r="C142" s="211" t="s">
        <v>569</v>
      </c>
      <c r="D142" s="211" t="s">
        <v>309</v>
      </c>
      <c r="E142" s="210" t="s">
        <v>2234</v>
      </c>
      <c r="F142" s="210"/>
      <c r="G142" s="210"/>
      <c r="H142" s="210"/>
      <c r="I142" s="210"/>
      <c r="J142" s="210"/>
      <c r="K142" s="210"/>
      <c r="L142" s="210"/>
      <c r="M142" s="210"/>
      <c r="N142" s="210"/>
      <c r="O142" s="196"/>
    </row>
    <row r="143" spans="1:15" s="212" customFormat="1" ht="15.75">
      <c r="A143" s="209" t="str">
        <f ca="1">IF(ISNA(VLOOKUP(D143,'Standard Smelter Names'!$B$3:$E$165,4,FALSE)),"",VLOOKUP(D143,'Standard Smelter Names'!$B$3:$E$165,4,FALSE))</f>
        <v/>
      </c>
      <c r="B143" s="210" t="s">
        <v>1268</v>
      </c>
      <c r="C143" s="211" t="s">
        <v>569</v>
      </c>
      <c r="D143" s="211" t="s">
        <v>310</v>
      </c>
      <c r="E143" s="210" t="s">
        <v>2245</v>
      </c>
      <c r="F143" s="210"/>
      <c r="G143" s="210"/>
      <c r="H143" s="210"/>
      <c r="I143" s="210"/>
      <c r="J143" s="210"/>
      <c r="K143" s="210"/>
      <c r="L143" s="210"/>
      <c r="M143" s="210"/>
      <c r="N143" s="210"/>
      <c r="O143" s="196"/>
    </row>
    <row r="144" spans="1:15" s="212" customFormat="1" ht="15.75">
      <c r="A144" s="209" t="str">
        <f ca="1">IF(ISNA(VLOOKUP(D144,'Standard Smelter Names'!$B$3:$E$165,4,FALSE)),"",VLOOKUP(D144,'Standard Smelter Names'!$B$3:$E$165,4,FALSE))</f>
        <v/>
      </c>
      <c r="B144" s="210" t="s">
        <v>1268</v>
      </c>
      <c r="C144" s="211" t="s">
        <v>569</v>
      </c>
      <c r="D144" s="211" t="s">
        <v>311</v>
      </c>
      <c r="E144" s="210" t="s">
        <v>2245</v>
      </c>
      <c r="F144" s="210"/>
      <c r="G144" s="210"/>
      <c r="H144" s="210"/>
      <c r="I144" s="210"/>
      <c r="J144" s="210"/>
      <c r="K144" s="210"/>
      <c r="L144" s="210"/>
      <c r="M144" s="210"/>
      <c r="N144" s="210"/>
      <c r="O144" s="196"/>
    </row>
    <row r="145" spans="1:15" s="212" customFormat="1" ht="15.75">
      <c r="A145" s="209" t="str">
        <f ca="1">IF(ISNA(VLOOKUP(D145,'Standard Smelter Names'!$B$3:$E$165,4,FALSE)),"",VLOOKUP(D145,'Standard Smelter Names'!$B$3:$E$165,4,FALSE))</f>
        <v/>
      </c>
      <c r="B145" s="210" t="s">
        <v>1268</v>
      </c>
      <c r="C145" s="211" t="s">
        <v>569</v>
      </c>
      <c r="D145" s="211" t="s">
        <v>312</v>
      </c>
      <c r="E145" s="210" t="s">
        <v>2245</v>
      </c>
      <c r="F145" s="210"/>
      <c r="G145" s="210"/>
      <c r="H145" s="210"/>
      <c r="I145" s="210"/>
      <c r="J145" s="210"/>
      <c r="K145" s="210"/>
      <c r="L145" s="210"/>
      <c r="M145" s="210"/>
      <c r="N145" s="210"/>
      <c r="O145" s="196"/>
    </row>
    <row r="146" spans="1:15" s="212" customFormat="1" ht="15.75">
      <c r="A146" s="209" t="str">
        <f ca="1">IF(ISNA(VLOOKUP(D146,'Standard Smelter Names'!$B$3:$E$165,4,FALSE)),"",VLOOKUP(D146,'Standard Smelter Names'!$B$3:$E$165,4,FALSE))</f>
        <v/>
      </c>
      <c r="B146" s="210" t="s">
        <v>1268</v>
      </c>
      <c r="C146" s="211" t="s">
        <v>569</v>
      </c>
      <c r="D146" s="211" t="s">
        <v>313</v>
      </c>
      <c r="E146" s="210" t="s">
        <v>2245</v>
      </c>
      <c r="F146" s="210"/>
      <c r="G146" s="210"/>
      <c r="H146" s="210"/>
      <c r="I146" s="210"/>
      <c r="J146" s="210"/>
      <c r="K146" s="210"/>
      <c r="L146" s="210"/>
      <c r="M146" s="210"/>
      <c r="N146" s="210"/>
      <c r="O146" s="196"/>
    </row>
    <row r="147" spans="1:15" s="212" customFormat="1" ht="15.75">
      <c r="A147" s="209" t="str">
        <f ca="1">IF(ISNA(VLOOKUP(D147,'Standard Smelter Names'!$B$3:$E$165,4,FALSE)),"",VLOOKUP(D147,'Standard Smelter Names'!$B$3:$E$165,4,FALSE))</f>
        <v/>
      </c>
      <c r="B147" s="210" t="s">
        <v>1268</v>
      </c>
      <c r="C147" s="211" t="s">
        <v>569</v>
      </c>
      <c r="D147" s="211" t="s">
        <v>314</v>
      </c>
      <c r="E147" s="210" t="s">
        <v>2245</v>
      </c>
      <c r="F147" s="210"/>
      <c r="G147" s="210"/>
      <c r="H147" s="210"/>
      <c r="I147" s="210"/>
      <c r="J147" s="210"/>
      <c r="K147" s="210"/>
      <c r="L147" s="210"/>
      <c r="M147" s="210"/>
      <c r="N147" s="210"/>
      <c r="O147" s="196"/>
    </row>
    <row r="148" spans="1:15" s="212" customFormat="1" ht="15.75">
      <c r="A148" s="209" t="str">
        <f ca="1">IF(ISNA(VLOOKUP(D148,'Standard Smelter Names'!$B$3:$E$165,4,FALSE)),"",VLOOKUP(D148,'Standard Smelter Names'!$B$3:$E$165,4,FALSE))</f>
        <v/>
      </c>
      <c r="B148" s="210" t="s">
        <v>1268</v>
      </c>
      <c r="C148" s="211" t="s">
        <v>569</v>
      </c>
      <c r="D148" s="211" t="s">
        <v>315</v>
      </c>
      <c r="E148" s="210" t="s">
        <v>2245</v>
      </c>
      <c r="F148" s="210"/>
      <c r="G148" s="210"/>
      <c r="H148" s="210"/>
      <c r="I148" s="210"/>
      <c r="J148" s="210"/>
      <c r="K148" s="210"/>
      <c r="L148" s="210"/>
      <c r="M148" s="210"/>
      <c r="N148" s="210"/>
      <c r="O148" s="196"/>
    </row>
    <row r="149" spans="1:15" s="212" customFormat="1" ht="15.75">
      <c r="A149" s="209" t="str">
        <f ca="1">IF(ISNA(VLOOKUP(D149,'Standard Smelter Names'!$B$3:$E$165,4,FALSE)),"",VLOOKUP(D149,'Standard Smelter Names'!$B$3:$E$165,4,FALSE))</f>
        <v/>
      </c>
      <c r="B149" s="210" t="s">
        <v>1268</v>
      </c>
      <c r="C149" s="211" t="s">
        <v>569</v>
      </c>
      <c r="D149" s="211" t="s">
        <v>316</v>
      </c>
      <c r="E149" s="210" t="s">
        <v>2234</v>
      </c>
      <c r="F149" s="210"/>
      <c r="G149" s="210"/>
      <c r="H149" s="210"/>
      <c r="I149" s="210"/>
      <c r="J149" s="210"/>
      <c r="K149" s="210"/>
      <c r="L149" s="210"/>
      <c r="M149" s="210"/>
      <c r="N149" s="210"/>
      <c r="O149" s="196"/>
    </row>
    <row r="150" spans="1:15" s="212" customFormat="1" ht="15.75">
      <c r="A150" s="209" t="str">
        <f ca="1">IF(ISNA(VLOOKUP(D150,'Standard Smelter Names'!$B$3:$E$165,4,FALSE)),"",VLOOKUP(D150,'Standard Smelter Names'!$B$3:$E$165,4,FALSE))</f>
        <v/>
      </c>
      <c r="B150" s="210" t="s">
        <v>1268</v>
      </c>
      <c r="C150" s="211" t="s">
        <v>569</v>
      </c>
      <c r="D150" s="211" t="s">
        <v>317</v>
      </c>
      <c r="E150" s="210" t="s">
        <v>2234</v>
      </c>
      <c r="F150" s="210"/>
      <c r="G150" s="210"/>
      <c r="H150" s="210"/>
      <c r="I150" s="210"/>
      <c r="J150" s="210"/>
      <c r="K150" s="210"/>
      <c r="L150" s="210"/>
      <c r="M150" s="210"/>
      <c r="N150" s="210"/>
      <c r="O150" s="196"/>
    </row>
    <row r="151" spans="1:15" s="212" customFormat="1" ht="15.75">
      <c r="A151" s="209" t="str">
        <f ca="1">IF(ISNA(VLOOKUP(D151,'Standard Smelter Names'!$B$3:$E$165,4,FALSE)),"",VLOOKUP(D151,'Standard Smelter Names'!$B$3:$E$165,4,FALSE))</f>
        <v/>
      </c>
      <c r="B151" s="210" t="s">
        <v>1268</v>
      </c>
      <c r="C151" s="211" t="s">
        <v>569</v>
      </c>
      <c r="D151" s="211" t="s">
        <v>318</v>
      </c>
      <c r="E151" s="210" t="s">
        <v>2222</v>
      </c>
      <c r="F151" s="210"/>
      <c r="G151" s="210"/>
      <c r="H151" s="210"/>
      <c r="I151" s="210"/>
      <c r="J151" s="210"/>
      <c r="K151" s="210"/>
      <c r="L151" s="210"/>
      <c r="M151" s="210"/>
      <c r="N151" s="210"/>
      <c r="O151" s="196"/>
    </row>
    <row r="152" spans="1:15" s="212" customFormat="1" ht="15.75">
      <c r="A152" s="209" t="str">
        <f ca="1">IF(ISNA(VLOOKUP(D152,'Standard Smelter Names'!$B$3:$E$165,4,FALSE)),"",VLOOKUP(D152,'Standard Smelter Names'!$B$3:$E$165,4,FALSE))</f>
        <v>2THA046</v>
      </c>
      <c r="B152" s="210" t="s">
        <v>1268</v>
      </c>
      <c r="C152" s="211" t="s">
        <v>816</v>
      </c>
      <c r="D152" s="211" t="str">
        <f t="shared" si="4"/>
        <v>Thaisarco</v>
      </c>
      <c r="E152" s="210" t="str">
        <f t="shared" si="5"/>
        <v>THAILAND</v>
      </c>
      <c r="F152" s="210"/>
      <c r="G152" s="210"/>
      <c r="H152" s="210"/>
      <c r="I152" s="210"/>
      <c r="J152" s="210"/>
      <c r="K152" s="210"/>
      <c r="L152" s="210"/>
      <c r="M152" s="210"/>
      <c r="N152" s="210"/>
      <c r="O152" s="196"/>
    </row>
    <row r="153" spans="1:15" s="212" customFormat="1" ht="15.75">
      <c r="A153" s="209" t="str">
        <f ca="1">IF(ISNA(VLOOKUP(D153,'Standard Smelter Names'!$B$3:$E$165,4,FALSE)),"",VLOOKUP(D153,'Standard Smelter Names'!$B$3:$E$165,4,FALSE))</f>
        <v>2THA046</v>
      </c>
      <c r="B153" s="210" t="s">
        <v>1268</v>
      </c>
      <c r="C153" s="211" t="s">
        <v>2614</v>
      </c>
      <c r="D153" s="211" t="str">
        <f t="shared" si="4"/>
        <v>Thaisarco</v>
      </c>
      <c r="E153" s="210" t="str">
        <f t="shared" si="5"/>
        <v>THAILAND</v>
      </c>
      <c r="F153" s="210"/>
      <c r="G153" s="210"/>
      <c r="H153" s="210"/>
      <c r="I153" s="210"/>
      <c r="J153" s="210"/>
      <c r="K153" s="210"/>
      <c r="L153" s="210"/>
      <c r="M153" s="210"/>
      <c r="N153" s="210"/>
      <c r="O153" s="196"/>
    </row>
    <row r="154" spans="1:15" s="212" customFormat="1" ht="15.75">
      <c r="A154" s="209" t="str">
        <f ca="1">IF(ISNA(VLOOKUP(D154,'Standard Smelter Names'!$B$3:$E$165,4,FALSE)),"",VLOOKUP(D154,'Standard Smelter Names'!$B$3:$E$165,4,FALSE))</f>
        <v>2CHN048</v>
      </c>
      <c r="B154" s="210" t="s">
        <v>1268</v>
      </c>
      <c r="C154" s="211" t="s">
        <v>913</v>
      </c>
      <c r="D154" s="211" t="str">
        <f t="shared" si="4"/>
        <v>Yunnan Tin Company Limited</v>
      </c>
      <c r="E154" s="210" t="str">
        <f t="shared" si="5"/>
        <v>CHINA</v>
      </c>
      <c r="F154" s="210"/>
      <c r="G154" s="210"/>
      <c r="H154" s="210"/>
      <c r="I154" s="210"/>
      <c r="J154" s="210"/>
      <c r="K154" s="210"/>
      <c r="L154" s="210"/>
      <c r="M154" s="210"/>
      <c r="N154" s="210"/>
      <c r="O154" s="196"/>
    </row>
    <row r="155" spans="1:15" s="212" customFormat="1" ht="15.75">
      <c r="A155" s="209" t="str">
        <f ca="1">IF(ISNA(VLOOKUP(D155,'Standard Smelter Names'!$B$3:$E$165,4,FALSE)),"",VLOOKUP(D155,'Standard Smelter Names'!$B$3:$E$165,4,FALSE))</f>
        <v>2CHN047</v>
      </c>
      <c r="B155" s="210" t="s">
        <v>1268</v>
      </c>
      <c r="C155" s="211" t="s">
        <v>817</v>
      </c>
      <c r="D155" s="211" t="str">
        <f t="shared" si="4"/>
        <v>Yunnan Chengfeng</v>
      </c>
      <c r="E155" s="210" t="str">
        <f t="shared" si="5"/>
        <v>CHINA</v>
      </c>
      <c r="F155" s="210"/>
      <c r="G155" s="210"/>
      <c r="H155" s="210"/>
      <c r="I155" s="210"/>
      <c r="J155" s="210"/>
      <c r="K155" s="210"/>
      <c r="L155" s="210"/>
      <c r="M155" s="210"/>
      <c r="N155" s="210"/>
      <c r="O155" s="196"/>
    </row>
    <row r="156" spans="1:15" s="212" customFormat="1" ht="15.75">
      <c r="A156" s="209" t="str">
        <f ca="1">IF(ISNA(VLOOKUP(D156,'Standard Smelter Names'!$B$3:$E$165,4,FALSE)),"",VLOOKUP(D156,'Standard Smelter Names'!$B$3:$E$165,4,FALSE))</f>
        <v>2CHN048</v>
      </c>
      <c r="B156" s="210" t="s">
        <v>1268</v>
      </c>
      <c r="C156" s="211" t="s">
        <v>2615</v>
      </c>
      <c r="D156" s="211" t="str">
        <f t="shared" si="4"/>
        <v>Yunnan Tin Company Limited</v>
      </c>
      <c r="E156" s="210" t="str">
        <f t="shared" si="5"/>
        <v>CHINA</v>
      </c>
      <c r="F156" s="210"/>
      <c r="G156" s="210"/>
      <c r="H156" s="210"/>
      <c r="I156" s="210"/>
      <c r="J156" s="210"/>
      <c r="K156" s="210"/>
      <c r="L156" s="210"/>
      <c r="M156" s="210"/>
      <c r="N156" s="210"/>
      <c r="O156" s="196"/>
    </row>
    <row r="157" spans="1:15" s="212" customFormat="1" ht="15.75">
      <c r="A157" s="209" t="str">
        <f ca="1">IF(ISNA(VLOOKUP(D157,'Standard Smelter Names'!$B$3:$E$165,4,FALSE)),"",VLOOKUP(D157,'Standard Smelter Names'!$B$3:$E$165,4,FALSE))</f>
        <v>4CHN002</v>
      </c>
      <c r="B157" s="210" t="s">
        <v>1270</v>
      </c>
      <c r="C157" s="211" t="s">
        <v>1817</v>
      </c>
      <c r="D157" s="211" t="str">
        <f t="shared" si="4"/>
        <v>Chaozhou Xianglu Tungsten Industry Co Ltd</v>
      </c>
      <c r="E157" s="210" t="str">
        <f t="shared" si="5"/>
        <v>CHINA</v>
      </c>
      <c r="F157" s="210"/>
      <c r="G157" s="210"/>
      <c r="H157" s="210"/>
      <c r="I157" s="210"/>
      <c r="J157" s="210"/>
      <c r="K157" s="210"/>
      <c r="L157" s="210"/>
      <c r="M157" s="210"/>
      <c r="N157" s="210"/>
      <c r="O157" s="196"/>
    </row>
    <row r="158" spans="1:15" s="212" customFormat="1" ht="15.75">
      <c r="A158" s="209" t="str">
        <f ca="1">IF(ISNA(VLOOKUP(D158,'Standard Smelter Names'!$B$3:$E$165,4,FALSE)),"",VLOOKUP(D158,'Standard Smelter Names'!$B$3:$E$165,4,FALSE))</f>
        <v>4CHN004</v>
      </c>
      <c r="B158" s="210" t="s">
        <v>1270</v>
      </c>
      <c r="C158" s="211" t="s">
        <v>2474</v>
      </c>
      <c r="D158" s="211" t="str">
        <f t="shared" si="4"/>
        <v>Chongyi Zhangyuan Tungsten Co Ltd</v>
      </c>
      <c r="E158" s="210" t="str">
        <f t="shared" si="5"/>
        <v>CHINA</v>
      </c>
      <c r="F158" s="210"/>
      <c r="G158" s="210"/>
      <c r="H158" s="210"/>
      <c r="I158" s="210"/>
      <c r="J158" s="210"/>
      <c r="K158" s="210"/>
      <c r="L158" s="210"/>
      <c r="M158" s="210"/>
      <c r="N158" s="210"/>
      <c r="O158" s="196"/>
    </row>
    <row r="159" spans="1:15" s="212" customFormat="1" ht="15.75">
      <c r="A159" s="209" t="str">
        <f ca="1">IF(ISNA(VLOOKUP(D159,'Standard Smelter Names'!$B$3:$E$165,4,FALSE)),"",VLOOKUP(D159,'Standard Smelter Names'!$B$3:$E$165,4,FALSE))</f>
        <v>4CHN016</v>
      </c>
      <c r="B159" s="210" t="s">
        <v>1270</v>
      </c>
      <c r="C159" s="211" t="s">
        <v>124</v>
      </c>
      <c r="D159" s="211" t="str">
        <f t="shared" si="4"/>
        <v>Ganzhou Grand Sea W &amp; Mo Group Co Ltd</v>
      </c>
      <c r="E159" s="210" t="str">
        <f t="shared" si="5"/>
        <v>CHINA</v>
      </c>
      <c r="F159" s="210"/>
      <c r="G159" s="210"/>
      <c r="H159" s="210"/>
      <c r="I159" s="210"/>
      <c r="J159" s="210"/>
      <c r="K159" s="210"/>
      <c r="L159" s="210"/>
      <c r="M159" s="210"/>
      <c r="N159" s="210"/>
      <c r="O159" s="196"/>
    </row>
    <row r="160" spans="1:15" s="212" customFormat="1" ht="15.75">
      <c r="A160" s="209" t="str">
        <f ca="1">IF(ISNA(VLOOKUP(D160,'Standard Smelter Names'!$B$3:$E$165,4,FALSE)),"",VLOOKUP(D160,'Standard Smelter Names'!$B$3:$E$165,4,FALSE))</f>
        <v>4CHN016</v>
      </c>
      <c r="B160" s="210" t="s">
        <v>1270</v>
      </c>
      <c r="C160" s="211" t="s">
        <v>82</v>
      </c>
      <c r="D160" s="211" t="str">
        <f t="shared" si="4"/>
        <v>Ganzhou Grand Sea W &amp; Mo Group Co Ltd</v>
      </c>
      <c r="E160" s="210" t="str">
        <f t="shared" si="5"/>
        <v>CHINA</v>
      </c>
      <c r="F160" s="210"/>
      <c r="G160" s="210"/>
      <c r="H160" s="210"/>
      <c r="I160" s="210"/>
      <c r="J160" s="210"/>
      <c r="K160" s="210"/>
      <c r="L160" s="210"/>
      <c r="M160" s="210"/>
      <c r="N160" s="210"/>
      <c r="O160" s="196"/>
    </row>
    <row r="161" spans="1:15" s="212" customFormat="1" ht="15.75">
      <c r="A161" s="209" t="str">
        <f ca="1">IF(ISNA(VLOOKUP(D161,'Standard Smelter Names'!$B$3:$E$165,4,FALSE)),"",VLOOKUP(D161,'Standard Smelter Names'!$B$3:$E$165,4,FALSE))</f>
        <v>4CHN010</v>
      </c>
      <c r="B161" s="210" t="s">
        <v>1270</v>
      </c>
      <c r="C161" s="211" t="s">
        <v>109</v>
      </c>
      <c r="D161" s="211" t="str">
        <f t="shared" si="4"/>
        <v>Jiangxi Tungsten Industry Group Co Ltd</v>
      </c>
      <c r="E161" s="210" t="str">
        <f t="shared" si="5"/>
        <v>CHINA</v>
      </c>
      <c r="F161" s="210"/>
      <c r="G161" s="210"/>
      <c r="H161" s="210"/>
      <c r="I161" s="210"/>
      <c r="J161" s="210"/>
      <c r="K161" s="210"/>
      <c r="L161" s="210"/>
      <c r="M161" s="210"/>
      <c r="N161" s="210"/>
      <c r="O161" s="196"/>
    </row>
    <row r="162" spans="1:15" s="212" customFormat="1" ht="15.75">
      <c r="A162" s="209" t="str">
        <f ca="1">IF(ISNA(VLOOKUP(D162,'Standard Smelter Names'!$B$3:$E$165,4,FALSE)),"",VLOOKUP(D162,'Standard Smelter Names'!$B$3:$E$165,4,FALSE))</f>
        <v>4CHN010</v>
      </c>
      <c r="B162" s="210" t="s">
        <v>1270</v>
      </c>
      <c r="C162" s="211" t="s">
        <v>108</v>
      </c>
      <c r="D162" s="211" t="str">
        <f t="shared" si="4"/>
        <v>Jiangxi Tungsten Industry Group Co Ltd</v>
      </c>
      <c r="E162" s="210" t="str">
        <f t="shared" si="5"/>
        <v>CHINA</v>
      </c>
      <c r="F162" s="210"/>
      <c r="G162" s="210"/>
      <c r="H162" s="210"/>
      <c r="I162" s="210"/>
      <c r="J162" s="210"/>
      <c r="K162" s="210"/>
      <c r="L162" s="210"/>
      <c r="M162" s="210"/>
      <c r="N162" s="210"/>
      <c r="O162" s="196"/>
    </row>
    <row r="163" spans="1:15" s="212" customFormat="1" ht="15.75">
      <c r="A163" s="209" t="str">
        <f ca="1">IF(ISNA(VLOOKUP(D163,'Standard Smelter Names'!$B$3:$E$165,4,FALSE)),"",VLOOKUP(D163,'Standard Smelter Names'!$B$3:$E$165,4,FALSE))</f>
        <v>4USA007</v>
      </c>
      <c r="B163" s="210" t="s">
        <v>1270</v>
      </c>
      <c r="C163" s="211" t="s">
        <v>1818</v>
      </c>
      <c r="D163" s="211" t="str">
        <f t="shared" si="4"/>
        <v>Global Tungsten &amp; Powders Corp</v>
      </c>
      <c r="E163" s="210" t="str">
        <f t="shared" si="5"/>
        <v>UNITED STATES</v>
      </c>
      <c r="F163" s="210"/>
      <c r="G163" s="210"/>
      <c r="H163" s="210"/>
      <c r="I163" s="210"/>
      <c r="J163" s="210"/>
      <c r="K163" s="210"/>
      <c r="L163" s="210"/>
      <c r="M163" s="210"/>
      <c r="N163" s="210"/>
      <c r="O163" s="196"/>
    </row>
    <row r="164" spans="1:15" s="212" customFormat="1" ht="15.75">
      <c r="A164" s="209" t="str">
        <f ca="1">IF(ISNA(VLOOKUP(D164,'Standard Smelter Names'!$B$3:$E$165,4,FALSE)),"",VLOOKUP(D164,'Standard Smelter Names'!$B$3:$E$165,4,FALSE))</f>
        <v>4DEU008</v>
      </c>
      <c r="B164" s="210" t="s">
        <v>1270</v>
      </c>
      <c r="C164" s="211" t="s">
        <v>2471</v>
      </c>
      <c r="D164" s="211" t="str">
        <f t="shared" si="4"/>
        <v>HC Starck GmbH</v>
      </c>
      <c r="E164" s="210" t="str">
        <f t="shared" si="5"/>
        <v>GERMANY</v>
      </c>
      <c r="F164" s="210"/>
      <c r="G164" s="210"/>
      <c r="H164" s="210"/>
      <c r="I164" s="210"/>
      <c r="J164" s="210"/>
      <c r="K164" s="210"/>
      <c r="L164" s="210"/>
      <c r="M164" s="210"/>
      <c r="N164" s="210"/>
      <c r="O164" s="196"/>
    </row>
    <row r="165" spans="1:15" s="212" customFormat="1" ht="15.75">
      <c r="A165" s="209" t="str">
        <f ca="1">IF(ISNA(VLOOKUP(D165,'Standard Smelter Names'!$B$3:$E$165,4,FALSE)),"",VLOOKUP(D165,'Standard Smelter Names'!$B$3:$E$165,4,FALSE))</f>
        <v>4CHN009</v>
      </c>
      <c r="B165" s="210" t="s">
        <v>1270</v>
      </c>
      <c r="C165" s="211" t="s">
        <v>1819</v>
      </c>
      <c r="D165" s="211" t="str">
        <f t="shared" si="4"/>
        <v>Jiangxi Rare Earth &amp; Rare Metals Tungsten Group Corp</v>
      </c>
      <c r="E165" s="210" t="str">
        <f t="shared" si="5"/>
        <v>CHINA</v>
      </c>
      <c r="F165" s="210"/>
      <c r="G165" s="210"/>
      <c r="H165" s="210"/>
      <c r="I165" s="210"/>
      <c r="J165" s="210"/>
      <c r="K165" s="210"/>
      <c r="L165" s="210"/>
      <c r="M165" s="210"/>
      <c r="N165" s="210"/>
      <c r="O165" s="196"/>
    </row>
    <row r="166" spans="1:15" s="212" customFormat="1" ht="15.75">
      <c r="A166" s="209" t="str">
        <f ca="1">IF(ISNA(VLOOKUP(D166,'Standard Smelter Names'!$B$3:$E$165,4,FALSE)),"",VLOOKUP(D166,'Standard Smelter Names'!$B$3:$E$165,4,FALSE))</f>
        <v>4CHN010</v>
      </c>
      <c r="B166" s="210" t="s">
        <v>1270</v>
      </c>
      <c r="C166" s="211" t="s">
        <v>1820</v>
      </c>
      <c r="D166" s="211" t="str">
        <f t="shared" si="4"/>
        <v>Jiangxi Tungsten Industry Group Co Ltd</v>
      </c>
      <c r="E166" s="210" t="str">
        <f t="shared" si="5"/>
        <v>CHINA</v>
      </c>
      <c r="F166" s="210"/>
      <c r="G166" s="210"/>
      <c r="H166" s="210"/>
      <c r="I166" s="210"/>
      <c r="J166" s="210"/>
      <c r="K166" s="210"/>
      <c r="L166" s="210"/>
      <c r="M166" s="210"/>
      <c r="N166" s="210"/>
      <c r="O166" s="196"/>
    </row>
    <row r="167" spans="1:15" s="212" customFormat="1" ht="15.75">
      <c r="A167" s="209" t="str">
        <f ca="1">IF(ISNA(VLOOKUP(D167,'Standard Smelter Names'!$B$3:$E$165,4,FALSE)),"",VLOOKUP(D167,'Standard Smelter Names'!$B$3:$E$165,4,FALSE))</f>
        <v>4CHN010</v>
      </c>
      <c r="B167" s="210" t="s">
        <v>1270</v>
      </c>
      <c r="C167" s="211" t="s">
        <v>110</v>
      </c>
      <c r="D167" s="211" t="str">
        <f t="shared" si="4"/>
        <v>Jiangxi Tungsten Industry Group Co Ltd</v>
      </c>
      <c r="E167" s="210" t="str">
        <f t="shared" si="5"/>
        <v>CHINA</v>
      </c>
      <c r="F167" s="210"/>
      <c r="G167" s="210"/>
      <c r="H167" s="210"/>
      <c r="I167" s="210"/>
      <c r="J167" s="210"/>
      <c r="K167" s="210"/>
      <c r="L167" s="210"/>
      <c r="M167" s="210"/>
      <c r="N167" s="210"/>
      <c r="O167" s="196"/>
    </row>
    <row r="168" spans="1:15" s="212" customFormat="1" ht="15.75">
      <c r="A168" s="209" t="str">
        <f ca="1">IF(ISNA(VLOOKUP(D168,'Standard Smelter Names'!$B$3:$E$165,4,FALSE)),"",VLOOKUP(D168,'Standard Smelter Names'!$B$3:$E$165,4,FALSE))</f>
        <v>4CHN016</v>
      </c>
      <c r="B168" s="210" t="s">
        <v>1270</v>
      </c>
      <c r="C168" s="211" t="s">
        <v>126</v>
      </c>
      <c r="D168" s="211" t="str">
        <f t="shared" si="4"/>
        <v>Ganzhou Grand Sea W &amp; Mo Group Co Ltd</v>
      </c>
      <c r="E168" s="210" t="str">
        <f t="shared" si="5"/>
        <v>CHINA</v>
      </c>
      <c r="F168" s="210"/>
      <c r="G168" s="210"/>
      <c r="H168" s="210"/>
      <c r="I168" s="210"/>
      <c r="J168" s="210"/>
      <c r="K168" s="210"/>
      <c r="L168" s="210"/>
      <c r="M168" s="210"/>
      <c r="N168" s="210"/>
      <c r="O168" s="196"/>
    </row>
    <row r="169" spans="1:15" s="212" customFormat="1" ht="15.75">
      <c r="A169" s="209" t="str">
        <f ca="1">IF(ISNA(VLOOKUP(D169,'Standard Smelter Names'!$B$3:$E$165,4,FALSE)),"",VLOOKUP(D169,'Standard Smelter Names'!$B$3:$E$165,4,FALSE))</f>
        <v>4CHN010</v>
      </c>
      <c r="B169" s="210" t="s">
        <v>1270</v>
      </c>
      <c r="C169" s="211" t="s">
        <v>85</v>
      </c>
      <c r="D169" s="211" t="str">
        <f t="shared" si="4"/>
        <v>Jiangxi Tungsten Industry Group Co Ltd</v>
      </c>
      <c r="E169" s="210" t="str">
        <f t="shared" si="5"/>
        <v>JAPAN</v>
      </c>
      <c r="F169" s="210"/>
      <c r="G169" s="210"/>
      <c r="H169" s="210"/>
      <c r="I169" s="210"/>
      <c r="J169" s="210"/>
      <c r="K169" s="210"/>
      <c r="L169" s="210"/>
      <c r="M169" s="210"/>
      <c r="N169" s="210"/>
      <c r="O169" s="196"/>
    </row>
    <row r="170" spans="1:15" s="212" customFormat="1" ht="15.75">
      <c r="A170" s="209" t="str">
        <f ca="1">IF(ISNA(VLOOKUP(D170,'Standard Smelter Names'!$B$3:$E$165,4,FALSE)),"",VLOOKUP(D170,'Standard Smelter Names'!$B$3:$E$165,4,FALSE))</f>
        <v>4CHN015</v>
      </c>
      <c r="B170" s="210" t="s">
        <v>1270</v>
      </c>
      <c r="C170" s="211" t="s">
        <v>143</v>
      </c>
      <c r="D170" s="211" t="str">
        <f t="shared" si="4"/>
        <v>Zhuzhou Cemented Carbide Group Co Ltd</v>
      </c>
      <c r="E170" s="210" t="str">
        <f t="shared" si="5"/>
        <v>CHINA</v>
      </c>
      <c r="F170" s="210"/>
      <c r="G170" s="210"/>
      <c r="H170" s="210"/>
      <c r="I170" s="210"/>
      <c r="J170" s="210"/>
      <c r="K170" s="210"/>
      <c r="L170" s="210"/>
      <c r="M170" s="210"/>
      <c r="N170" s="210"/>
      <c r="O170" s="196"/>
    </row>
    <row r="171" spans="1:15" s="212" customFormat="1" ht="15.75">
      <c r="A171" s="209" t="str">
        <f ca="1">IF(ISNA(VLOOKUP(D171,'Standard Smelter Names'!$B$3:$E$165,4,FALSE)),"",VLOOKUP(D171,'Standard Smelter Names'!$B$3:$E$165,4,FALSE))</f>
        <v>4CHN014</v>
      </c>
      <c r="B171" s="210" t="s">
        <v>1270</v>
      </c>
      <c r="C171" s="211" t="s">
        <v>1821</v>
      </c>
      <c r="D171" s="211" t="str">
        <f t="shared" si="4"/>
        <v>Xiamen Tungsten Co Ltd</v>
      </c>
      <c r="E171" s="210" t="str">
        <f t="shared" si="5"/>
        <v>CHINA</v>
      </c>
      <c r="F171" s="210"/>
      <c r="G171" s="210"/>
      <c r="H171" s="210"/>
      <c r="I171" s="210"/>
      <c r="J171" s="210"/>
      <c r="K171" s="210"/>
      <c r="L171" s="210"/>
      <c r="M171" s="210"/>
      <c r="N171" s="210"/>
      <c r="O171" s="196"/>
    </row>
    <row r="172" spans="1:15" s="212" customFormat="1" ht="15.75">
      <c r="A172" s="209" t="str">
        <f ca="1">IF(ISNA(VLOOKUP(D172,'Standard Smelter Names'!$B$3:$E$165,4,FALSE)),"",VLOOKUP(D172,'Standard Smelter Names'!$B$3:$E$165,4,FALSE))</f>
        <v/>
      </c>
      <c r="B172" s="210" t="s">
        <v>1270</v>
      </c>
      <c r="C172" s="211" t="s">
        <v>569</v>
      </c>
      <c r="D172" s="211" t="s">
        <v>319</v>
      </c>
      <c r="E172" s="210" t="s">
        <v>2313</v>
      </c>
      <c r="F172" s="210"/>
      <c r="G172" s="210"/>
      <c r="H172" s="210"/>
      <c r="I172" s="210"/>
      <c r="J172" s="210"/>
      <c r="K172" s="210"/>
      <c r="L172" s="210"/>
      <c r="M172" s="210"/>
      <c r="N172" s="210"/>
      <c r="O172" s="196"/>
    </row>
    <row r="173" spans="1:15" s="212" customFormat="1" ht="15.75">
      <c r="A173" s="209" t="str">
        <f ca="1">IF(ISNA(VLOOKUP(D173,'Standard Smelter Names'!$B$3:$E$165,4,FALSE)),"",VLOOKUP(D173,'Standard Smelter Names'!$B$3:$E$165,4,FALSE))</f>
        <v/>
      </c>
      <c r="B173" s="210" t="s">
        <v>1270</v>
      </c>
      <c r="C173" s="211" t="s">
        <v>569</v>
      </c>
      <c r="D173" s="211" t="s">
        <v>320</v>
      </c>
      <c r="E173" s="210" t="s">
        <v>2313</v>
      </c>
      <c r="F173" s="210"/>
      <c r="G173" s="210"/>
      <c r="H173" s="210"/>
      <c r="I173" s="210"/>
      <c r="J173" s="210"/>
      <c r="K173" s="210"/>
      <c r="L173" s="210"/>
      <c r="M173" s="210"/>
      <c r="N173" s="210"/>
      <c r="O173" s="196"/>
    </row>
    <row r="174" spans="1:15" s="212" customFormat="1" ht="15.75">
      <c r="A174" s="209" t="str">
        <f ca="1">IF(ISNA(VLOOKUP(D174,'Standard Smelter Names'!$B$3:$E$165,4,FALSE)),"",VLOOKUP(D174,'Standard Smelter Names'!$B$3:$E$165,4,FALSE))</f>
        <v/>
      </c>
      <c r="B174" s="210" t="s">
        <v>1270</v>
      </c>
      <c r="C174" s="211" t="s">
        <v>569</v>
      </c>
      <c r="D174" s="211" t="s">
        <v>321</v>
      </c>
      <c r="E174" s="210" t="s">
        <v>2245</v>
      </c>
      <c r="F174" s="210"/>
      <c r="G174" s="210"/>
      <c r="H174" s="210"/>
      <c r="I174" s="210"/>
      <c r="J174" s="210"/>
      <c r="K174" s="210"/>
      <c r="L174" s="210"/>
      <c r="M174" s="210"/>
      <c r="N174" s="210"/>
      <c r="O174" s="196"/>
    </row>
    <row r="175" spans="1:15" s="212" customFormat="1" ht="15.75">
      <c r="A175" s="209" t="str">
        <f ca="1">IF(ISNA(VLOOKUP(D175,'Standard Smelter Names'!$B$3:$E$165,4,FALSE)),"",VLOOKUP(D175,'Standard Smelter Names'!$B$3:$E$165,4,FALSE))</f>
        <v>4DEU008</v>
      </c>
      <c r="B175" s="210" t="s">
        <v>1270</v>
      </c>
      <c r="C175" s="211" t="s">
        <v>141</v>
      </c>
      <c r="D175" s="211" t="str">
        <f t="shared" si="4"/>
        <v>HC Starck GmbH</v>
      </c>
      <c r="E175" s="210" t="str">
        <f t="shared" si="5"/>
        <v>GERMANY</v>
      </c>
      <c r="F175" s="210"/>
      <c r="G175" s="210"/>
      <c r="H175" s="210"/>
      <c r="I175" s="210"/>
      <c r="J175" s="210"/>
      <c r="K175" s="210"/>
      <c r="L175" s="210"/>
      <c r="M175" s="210"/>
      <c r="N175" s="210"/>
      <c r="O175" s="196"/>
    </row>
    <row r="176" spans="1:15" s="212" customFormat="1" ht="15.75">
      <c r="A176" s="209" t="str">
        <f ca="1">IF(ISNA(VLOOKUP(D176,'Standard Smelter Names'!$B$3:$E$165,4,FALSE)),"",VLOOKUP(D176,'Standard Smelter Names'!$B$3:$E$165,4,FALSE))</f>
        <v>1JPN057</v>
      </c>
      <c r="B176" s="210" t="s">
        <v>1270</v>
      </c>
      <c r="C176" s="211" t="s">
        <v>569</v>
      </c>
      <c r="D176" s="211" t="s">
        <v>619</v>
      </c>
      <c r="E176" s="210" t="s">
        <v>2313</v>
      </c>
      <c r="F176" s="210"/>
      <c r="G176" s="210"/>
      <c r="H176" s="210"/>
      <c r="I176" s="210"/>
      <c r="J176" s="210"/>
      <c r="K176" s="210"/>
      <c r="L176" s="210"/>
      <c r="M176" s="210"/>
      <c r="N176" s="210"/>
      <c r="O176" s="196"/>
    </row>
    <row r="177" spans="1:15" s="212" customFormat="1" ht="15.75">
      <c r="A177" s="209" t="str">
        <f ca="1">IF(ISNA(VLOOKUP(D177,'Standard Smelter Names'!$B$3:$E$165,4,FALSE)),"",VLOOKUP(D177,'Standard Smelter Names'!$B$3:$E$165,4,FALSE))</f>
        <v>4RUS013</v>
      </c>
      <c r="B177" s="210" t="s">
        <v>1270</v>
      </c>
      <c r="C177" s="211" t="s">
        <v>2473</v>
      </c>
      <c r="D177" s="211" t="str">
        <f t="shared" si="4"/>
        <v>Wolfram Company CJSC</v>
      </c>
      <c r="E177" s="210" t="str">
        <f t="shared" si="5"/>
        <v>RUSSIAN FEDERATION</v>
      </c>
      <c r="F177" s="210"/>
      <c r="G177" s="210"/>
      <c r="H177" s="210"/>
      <c r="I177" s="210"/>
      <c r="J177" s="210"/>
      <c r="K177" s="210"/>
      <c r="L177" s="210"/>
      <c r="M177" s="210"/>
      <c r="N177" s="210"/>
      <c r="O177" s="196"/>
    </row>
    <row r="178" spans="1:15" s="212" customFormat="1" ht="15.75">
      <c r="A178" s="209" t="str">
        <f ca="1">IF(ISNA(VLOOKUP(D178,'Standard Smelter Names'!$B$3:$E$165,4,FALSE)),"",VLOOKUP(D178,'Standard Smelter Names'!$B$3:$E$165,4,FALSE))</f>
        <v>4CHN014</v>
      </c>
      <c r="B178" s="210" t="s">
        <v>1270</v>
      </c>
      <c r="C178" s="211" t="s">
        <v>1821</v>
      </c>
      <c r="D178" s="211" t="str">
        <f t="shared" si="4"/>
        <v>Xiamen Tungsten Co Ltd</v>
      </c>
      <c r="E178" s="210" t="str">
        <f t="shared" si="5"/>
        <v>CHINA</v>
      </c>
      <c r="F178" s="210"/>
      <c r="G178" s="210"/>
      <c r="H178" s="210"/>
      <c r="I178" s="210"/>
      <c r="J178" s="210"/>
      <c r="K178" s="210"/>
      <c r="L178" s="210"/>
      <c r="M178" s="210"/>
      <c r="N178" s="210"/>
      <c r="O178" s="196"/>
    </row>
    <row r="179" spans="1:15" s="212" customFormat="1" ht="15.75">
      <c r="A179" s="209" t="str">
        <f ca="1">IF(ISNA(VLOOKUP(D179,'Standard Smelter Names'!$B$3:$E$165,4,FALSE)),"",VLOOKUP(D179,'Standard Smelter Names'!$B$3:$E$165,4,FALSE))</f>
        <v>4CHN015</v>
      </c>
      <c r="B179" s="210" t="s">
        <v>1270</v>
      </c>
      <c r="C179" s="211" t="s">
        <v>120</v>
      </c>
      <c r="D179" s="211" t="str">
        <f t="shared" si="4"/>
        <v>Zhuzhou Cemented Carbide Group Co Ltd</v>
      </c>
      <c r="E179" s="210" t="str">
        <f t="shared" si="5"/>
        <v>CHINA</v>
      </c>
      <c r="F179" s="210"/>
      <c r="G179" s="210"/>
      <c r="H179" s="210"/>
      <c r="I179" s="210"/>
      <c r="J179" s="210"/>
      <c r="K179" s="210"/>
      <c r="L179" s="210"/>
      <c r="M179" s="210"/>
      <c r="N179" s="210"/>
      <c r="O179" s="196"/>
    </row>
    <row r="180" spans="1:15" s="212" customFormat="1" ht="15.75">
      <c r="A180" s="209" t="str">
        <f ca="1">IF(ISNA(VLOOKUP(D180,'Standard Smelter Names'!$B$3:$E$165,4,FALSE)),"",VLOOKUP(D180,'Standard Smelter Names'!$B$3:$E$165,4,FALSE))</f>
        <v/>
      </c>
      <c r="B180" s="210"/>
      <c r="C180" s="211"/>
      <c r="D180" s="211" t="str">
        <f t="shared" si="4"/>
        <v/>
      </c>
      <c r="E180" s="210" t="str">
        <f t="shared" si="5"/>
        <v/>
      </c>
      <c r="F180" s="210"/>
      <c r="G180" s="210"/>
      <c r="H180" s="210"/>
      <c r="I180" s="210"/>
      <c r="J180" s="210"/>
      <c r="K180" s="210"/>
      <c r="L180" s="210"/>
      <c r="M180" s="210"/>
      <c r="N180" s="210"/>
      <c r="O180" s="196"/>
    </row>
    <row r="181" spans="1:15" s="212" customFormat="1" ht="15.75">
      <c r="A181" s="209" t="str">
        <f ca="1">IF(ISNA(VLOOKUP(D181,'Standard Smelter Names'!$B$3:$E$165,4,FALSE)),"",VLOOKUP(D181,'Standard Smelter Names'!$B$3:$E$165,4,FALSE))</f>
        <v/>
      </c>
      <c r="B181" s="210"/>
      <c r="C181" s="211"/>
      <c r="D181" s="211" t="str">
        <f t="shared" si="4"/>
        <v/>
      </c>
      <c r="E181" s="210" t="str">
        <f t="shared" si="5"/>
        <v/>
      </c>
      <c r="F181" s="210"/>
      <c r="G181" s="210"/>
      <c r="H181" s="210"/>
      <c r="I181" s="210"/>
      <c r="J181" s="210"/>
      <c r="K181" s="210"/>
      <c r="L181" s="210"/>
      <c r="M181" s="210"/>
      <c r="N181" s="210"/>
      <c r="O181" s="196"/>
    </row>
    <row r="182" spans="1:15" s="212" customFormat="1" ht="15.75">
      <c r="A182" s="209" t="str">
        <f ca="1">IF(ISNA(VLOOKUP(D182,'Standard Smelter Names'!$B$3:$E$165,4,FALSE)),"",VLOOKUP(D182,'Standard Smelter Names'!$B$3:$E$165,4,FALSE))</f>
        <v/>
      </c>
      <c r="B182" s="210"/>
      <c r="C182" s="211"/>
      <c r="D182" s="211" t="str">
        <f t="shared" si="4"/>
        <v/>
      </c>
      <c r="E182" s="210" t="str">
        <f t="shared" si="5"/>
        <v/>
      </c>
      <c r="F182" s="210"/>
      <c r="G182" s="210"/>
      <c r="H182" s="210"/>
      <c r="I182" s="210"/>
      <c r="J182" s="210"/>
      <c r="K182" s="210"/>
      <c r="L182" s="210"/>
      <c r="M182" s="210"/>
      <c r="N182" s="210"/>
      <c r="O182" s="196"/>
    </row>
    <row r="183" spans="1:15" s="212" customFormat="1" ht="15.75">
      <c r="A183" s="209" t="str">
        <f ca="1">IF(ISNA(VLOOKUP(D183,'Standard Smelter Names'!$B$3:$E$165,4,FALSE)),"",VLOOKUP(D183,'Standard Smelter Names'!$B$3:$E$165,4,FALSE))</f>
        <v/>
      </c>
      <c r="B183" s="210"/>
      <c r="C183" s="211"/>
      <c r="D183" s="211" t="str">
        <f t="shared" si="4"/>
        <v/>
      </c>
      <c r="E183" s="210" t="str">
        <f t="shared" si="5"/>
        <v/>
      </c>
      <c r="F183" s="210"/>
      <c r="G183" s="210"/>
      <c r="H183" s="210"/>
      <c r="I183" s="210"/>
      <c r="J183" s="210"/>
      <c r="K183" s="210"/>
      <c r="L183" s="210"/>
      <c r="M183" s="210"/>
      <c r="N183" s="210"/>
      <c r="O183" s="196"/>
    </row>
    <row r="184" spans="1:15" s="212" customFormat="1" ht="15.75">
      <c r="A184" s="209" t="str">
        <f ca="1">IF(ISNA(VLOOKUP(D184,'Standard Smelter Names'!$B$3:$E$165,4,FALSE)),"",VLOOKUP(D184,'Standard Smelter Names'!$B$3:$E$165,4,FALSE))</f>
        <v/>
      </c>
      <c r="B184" s="210"/>
      <c r="C184" s="211"/>
      <c r="D184" s="211" t="str">
        <f t="shared" si="4"/>
        <v/>
      </c>
      <c r="E184" s="210" t="str">
        <f t="shared" si="5"/>
        <v/>
      </c>
      <c r="F184" s="210"/>
      <c r="G184" s="210"/>
      <c r="H184" s="210"/>
      <c r="I184" s="210"/>
      <c r="J184" s="210"/>
      <c r="K184" s="210"/>
      <c r="L184" s="210"/>
      <c r="M184" s="210"/>
      <c r="N184" s="210"/>
      <c r="O184" s="196"/>
    </row>
    <row r="185" spans="1:15" s="212" customFormat="1" ht="15.75">
      <c r="A185" s="209" t="str">
        <f ca="1">IF(ISNA(VLOOKUP(D185,'Standard Smelter Names'!$B$3:$E$165,4,FALSE)),"",VLOOKUP(D185,'Standard Smelter Names'!$B$3:$E$165,4,FALSE))</f>
        <v/>
      </c>
      <c r="B185" s="210"/>
      <c r="C185" s="211"/>
      <c r="D185" s="211" t="str">
        <f t="shared" si="4"/>
        <v/>
      </c>
      <c r="E185" s="210" t="str">
        <f t="shared" si="5"/>
        <v/>
      </c>
      <c r="F185" s="210"/>
      <c r="G185" s="210"/>
      <c r="H185" s="210"/>
      <c r="I185" s="210"/>
      <c r="J185" s="210"/>
      <c r="K185" s="210"/>
      <c r="L185" s="210"/>
      <c r="M185" s="210"/>
      <c r="N185" s="210"/>
      <c r="O185" s="196"/>
    </row>
    <row r="186" spans="1:15" s="212" customFormat="1" ht="15.75">
      <c r="A186" s="209" t="str">
        <f ca="1">IF(ISNA(VLOOKUP(D186,'Standard Smelter Names'!$B$3:$E$165,4,FALSE)),"",VLOOKUP(D186,'Standard Smelter Names'!$B$3:$E$165,4,FALSE))</f>
        <v/>
      </c>
      <c r="B186" s="210"/>
      <c r="C186" s="211"/>
      <c r="D186" s="211" t="str">
        <f t="shared" si="4"/>
        <v/>
      </c>
      <c r="E186" s="210" t="str">
        <f t="shared" si="5"/>
        <v/>
      </c>
      <c r="F186" s="210"/>
      <c r="G186" s="210"/>
      <c r="H186" s="210"/>
      <c r="I186" s="210"/>
      <c r="J186" s="210"/>
      <c r="K186" s="210"/>
      <c r="L186" s="210"/>
      <c r="M186" s="210"/>
      <c r="N186" s="210"/>
      <c r="O186" s="196"/>
    </row>
    <row r="187" spans="1:15" s="212" customFormat="1" ht="15.75">
      <c r="A187" s="209" t="str">
        <f ca="1">IF(ISNA(VLOOKUP(D187,'Standard Smelter Names'!$B$3:$E$165,4,FALSE)),"",VLOOKUP(D187,'Standard Smelter Names'!$B$3:$E$165,4,FALSE))</f>
        <v/>
      </c>
      <c r="B187" s="210"/>
      <c r="C187" s="211"/>
      <c r="D187" s="211" t="str">
        <f t="shared" si="4"/>
        <v/>
      </c>
      <c r="E187" s="210" t="str">
        <f t="shared" si="5"/>
        <v/>
      </c>
      <c r="F187" s="210"/>
      <c r="G187" s="210"/>
      <c r="H187" s="210"/>
      <c r="I187" s="210"/>
      <c r="J187" s="210"/>
      <c r="K187" s="210"/>
      <c r="L187" s="210"/>
      <c r="M187" s="210"/>
      <c r="N187" s="210"/>
      <c r="O187" s="196"/>
    </row>
    <row r="188" spans="1:15" s="212" customFormat="1" ht="15.75">
      <c r="A188" s="209" t="str">
        <f ca="1">IF(ISNA(VLOOKUP(D188,'Standard Smelter Names'!$B$3:$E$165,4,FALSE)),"",VLOOKUP(D188,'Standard Smelter Names'!$B$3:$E$165,4,FALSE))</f>
        <v/>
      </c>
      <c r="B188" s="210"/>
      <c r="C188" s="211"/>
      <c r="D188" s="211" t="str">
        <f t="shared" si="4"/>
        <v/>
      </c>
      <c r="E188" s="210" t="str">
        <f t="shared" si="5"/>
        <v/>
      </c>
      <c r="F188" s="210"/>
      <c r="G188" s="210"/>
      <c r="H188" s="210"/>
      <c r="I188" s="210"/>
      <c r="J188" s="210"/>
      <c r="K188" s="210"/>
      <c r="L188" s="210"/>
      <c r="M188" s="210"/>
      <c r="N188" s="210"/>
      <c r="O188" s="196"/>
    </row>
    <row r="189" spans="1:15" s="212" customFormat="1" ht="15.75">
      <c r="A189" s="209" t="str">
        <f ca="1">IF(ISNA(VLOOKUP(D189,'Standard Smelter Names'!$B$3:$E$165,4,FALSE)),"",VLOOKUP(D189,'Standard Smelter Names'!$B$3:$E$165,4,FALSE))</f>
        <v/>
      </c>
      <c r="B189" s="210"/>
      <c r="C189" s="211"/>
      <c r="D189" s="211" t="str">
        <f t="shared" si="4"/>
        <v/>
      </c>
      <c r="E189" s="210" t="str">
        <f t="shared" si="5"/>
        <v/>
      </c>
      <c r="F189" s="210"/>
      <c r="G189" s="210"/>
      <c r="H189" s="210"/>
      <c r="I189" s="210"/>
      <c r="J189" s="210"/>
      <c r="K189" s="210"/>
      <c r="L189" s="210"/>
      <c r="M189" s="210"/>
      <c r="N189" s="210"/>
      <c r="O189" s="196"/>
    </row>
    <row r="190" spans="1:15" s="212" customFormat="1" ht="15.75">
      <c r="A190" s="209" t="str">
        <f ca="1">IF(ISNA(VLOOKUP(D190,'Standard Smelter Names'!$B$3:$E$165,4,FALSE)),"",VLOOKUP(D190,'Standard Smelter Names'!$B$3:$E$165,4,FALSE))</f>
        <v/>
      </c>
      <c r="B190" s="210"/>
      <c r="C190" s="211"/>
      <c r="D190" s="211" t="str">
        <f t="shared" si="4"/>
        <v/>
      </c>
      <c r="E190" s="210" t="str">
        <f t="shared" si="5"/>
        <v/>
      </c>
      <c r="F190" s="210"/>
      <c r="G190" s="210"/>
      <c r="H190" s="210"/>
      <c r="I190" s="210"/>
      <c r="J190" s="210"/>
      <c r="K190" s="210"/>
      <c r="L190" s="210"/>
      <c r="M190" s="210"/>
      <c r="N190" s="210"/>
      <c r="O190" s="196"/>
    </row>
    <row r="191" spans="1:15" s="212" customFormat="1" ht="15.75">
      <c r="A191" s="209" t="str">
        <f ca="1">IF(ISNA(VLOOKUP(D191,'Standard Smelter Names'!$B$3:$E$165,4,FALSE)),"",VLOOKUP(D191,'Standard Smelter Names'!$B$3:$E$165,4,FALSE))</f>
        <v/>
      </c>
      <c r="B191" s="210"/>
      <c r="C191" s="211"/>
      <c r="D191" s="211" t="str">
        <f t="shared" si="4"/>
        <v/>
      </c>
      <c r="E191" s="210" t="str">
        <f t="shared" si="5"/>
        <v/>
      </c>
      <c r="F191" s="210"/>
      <c r="G191" s="210"/>
      <c r="H191" s="210"/>
      <c r="I191" s="210"/>
      <c r="J191" s="210"/>
      <c r="K191" s="210"/>
      <c r="L191" s="210"/>
      <c r="M191" s="210"/>
      <c r="N191" s="210"/>
      <c r="O191" s="196"/>
    </row>
    <row r="192" spans="1:15" s="212" customFormat="1" ht="15.75">
      <c r="A192" s="209" t="str">
        <f ca="1">IF(ISNA(VLOOKUP(D192,'Standard Smelter Names'!$B$3:$E$165,4,FALSE)),"",VLOOKUP(D192,'Standard Smelter Names'!$B$3:$E$165,4,FALSE))</f>
        <v/>
      </c>
      <c r="B192" s="210"/>
      <c r="C192" s="211"/>
      <c r="D192" s="211" t="str">
        <f t="shared" si="4"/>
        <v/>
      </c>
      <c r="E192" s="210" t="str">
        <f t="shared" si="5"/>
        <v/>
      </c>
      <c r="F192" s="210"/>
      <c r="G192" s="210"/>
      <c r="H192" s="210"/>
      <c r="I192" s="210"/>
      <c r="J192" s="210"/>
      <c r="K192" s="210"/>
      <c r="L192" s="210"/>
      <c r="M192" s="210"/>
      <c r="N192" s="210"/>
      <c r="O192" s="196"/>
    </row>
    <row r="193" spans="1:15" s="212" customFormat="1" ht="15.75">
      <c r="A193" s="209" t="str">
        <f ca="1">IF(ISNA(VLOOKUP(D193,'Standard Smelter Names'!$B$3:$E$165,4,FALSE)),"",VLOOKUP(D193,'Standard Smelter Names'!$B$3:$E$165,4,FALSE))</f>
        <v/>
      </c>
      <c r="B193" s="210"/>
      <c r="C193" s="211"/>
      <c r="D193" s="211" t="str">
        <f t="shared" si="4"/>
        <v/>
      </c>
      <c r="E193" s="210" t="str">
        <f t="shared" si="5"/>
        <v/>
      </c>
      <c r="F193" s="210"/>
      <c r="G193" s="210"/>
      <c r="H193" s="210"/>
      <c r="I193" s="210"/>
      <c r="J193" s="210"/>
      <c r="K193" s="210"/>
      <c r="L193" s="210"/>
      <c r="M193" s="210"/>
      <c r="N193" s="210"/>
      <c r="O193" s="196"/>
    </row>
    <row r="194" spans="1:15" s="212" customFormat="1" ht="15.75">
      <c r="A194" s="209" t="str">
        <f ca="1">IF(ISNA(VLOOKUP(D194,'Standard Smelter Names'!$B$3:$E$165,4,FALSE)),"",VLOOKUP(D194,'Standard Smelter Names'!$B$3:$E$165,4,FALSE))</f>
        <v/>
      </c>
      <c r="B194" s="210"/>
      <c r="C194" s="211"/>
      <c r="D194" s="211" t="str">
        <f t="shared" si="4"/>
        <v/>
      </c>
      <c r="E194" s="210" t="str">
        <f t="shared" si="5"/>
        <v/>
      </c>
      <c r="F194" s="210"/>
      <c r="G194" s="210"/>
      <c r="H194" s="210"/>
      <c r="I194" s="210"/>
      <c r="J194" s="210"/>
      <c r="K194" s="210"/>
      <c r="L194" s="210"/>
      <c r="M194" s="210"/>
      <c r="N194" s="210"/>
      <c r="O194" s="196"/>
    </row>
    <row r="195" spans="1:15" s="212" customFormat="1" ht="15.75">
      <c r="A195" s="209" t="str">
        <f ca="1">IF(ISNA(VLOOKUP(D195,'Standard Smelter Names'!$B$3:$E$165,4,FALSE)),"",VLOOKUP(D195,'Standard Smelter Names'!$B$3:$E$165,4,FALSE))</f>
        <v/>
      </c>
      <c r="B195" s="210"/>
      <c r="C195" s="211"/>
      <c r="D195" s="211" t="str">
        <f t="shared" si="4"/>
        <v/>
      </c>
      <c r="E195" s="210" t="str">
        <f t="shared" si="5"/>
        <v/>
      </c>
      <c r="F195" s="210"/>
      <c r="G195" s="210"/>
      <c r="H195" s="210"/>
      <c r="I195" s="210"/>
      <c r="J195" s="210"/>
      <c r="K195" s="210"/>
      <c r="L195" s="210"/>
      <c r="M195" s="210"/>
      <c r="N195" s="210"/>
      <c r="O195" s="196"/>
    </row>
    <row r="196" spans="1:15" s="212" customFormat="1" ht="15.75">
      <c r="A196" s="209" t="str">
        <f ca="1">IF(ISNA(VLOOKUP(D196,'Standard Smelter Names'!$B$3:$E$165,4,FALSE)),"",VLOOKUP(D196,'Standard Smelter Names'!$B$3:$E$165,4,FALSE))</f>
        <v/>
      </c>
      <c r="B196" s="210"/>
      <c r="C196" s="211"/>
      <c r="D196" s="211" t="str">
        <f t="shared" si="4"/>
        <v/>
      </c>
      <c r="E196" s="210" t="str">
        <f t="shared" si="5"/>
        <v/>
      </c>
      <c r="F196" s="210"/>
      <c r="G196" s="210"/>
      <c r="H196" s="210"/>
      <c r="I196" s="210"/>
      <c r="J196" s="210"/>
      <c r="K196" s="210"/>
      <c r="L196" s="210"/>
      <c r="M196" s="210"/>
      <c r="N196" s="210"/>
      <c r="O196" s="196"/>
    </row>
    <row r="197" spans="1:15" s="212" customFormat="1" ht="15.75">
      <c r="A197" s="209" t="str">
        <f ca="1">IF(ISNA(VLOOKUP(D197,'Standard Smelter Names'!$B$3:$E$165,4,FALSE)),"",VLOOKUP(D197,'Standard Smelter Names'!$B$3:$E$165,4,FALSE))</f>
        <v/>
      </c>
      <c r="B197" s="210"/>
      <c r="C197" s="211"/>
      <c r="D197" s="211" t="str">
        <f t="shared" ref="D197:D260" si="6">IF(ISNA(VLOOKUP(C197,$G$1023:$I$1379,3,FALSE)),"",VLOOKUP(C197,$G$1023:$I$1379,3,FALSE))</f>
        <v/>
      </c>
      <c r="E197" s="210" t="str">
        <f t="shared" ref="E197:E260" si="7">IF(ISNA(VLOOKUP(C197,$G$1023:$I$1379,2,FALSE)),"",VLOOKUP(C197,$G$1023:$I$1379,2,FALSE))</f>
        <v/>
      </c>
      <c r="F197" s="210"/>
      <c r="G197" s="210"/>
      <c r="H197" s="210"/>
      <c r="I197" s="210"/>
      <c r="J197" s="210"/>
      <c r="K197" s="210"/>
      <c r="L197" s="210"/>
      <c r="M197" s="210"/>
      <c r="N197" s="210"/>
      <c r="O197" s="196"/>
    </row>
    <row r="198" spans="1:15" s="212" customFormat="1" ht="15.75">
      <c r="A198" s="209" t="str">
        <f ca="1">IF(ISNA(VLOOKUP(D198,'Standard Smelter Names'!$B$3:$E$165,4,FALSE)),"",VLOOKUP(D198,'Standard Smelter Names'!$B$3:$E$165,4,FALSE))</f>
        <v/>
      </c>
      <c r="B198" s="210"/>
      <c r="C198" s="211"/>
      <c r="D198" s="211" t="str">
        <f t="shared" si="6"/>
        <v/>
      </c>
      <c r="E198" s="210" t="str">
        <f t="shared" si="7"/>
        <v/>
      </c>
      <c r="F198" s="210"/>
      <c r="G198" s="210"/>
      <c r="H198" s="210"/>
      <c r="I198" s="210"/>
      <c r="J198" s="210"/>
      <c r="K198" s="210"/>
      <c r="L198" s="210"/>
      <c r="M198" s="210"/>
      <c r="N198" s="210"/>
      <c r="O198" s="196"/>
    </row>
    <row r="199" spans="1:15" s="212" customFormat="1" ht="15.75">
      <c r="A199" s="209" t="str">
        <f ca="1">IF(ISNA(VLOOKUP(D199,'Standard Smelter Names'!$B$3:$E$165,4,FALSE)),"",VLOOKUP(D199,'Standard Smelter Names'!$B$3:$E$165,4,FALSE))</f>
        <v/>
      </c>
      <c r="B199" s="210"/>
      <c r="C199" s="211"/>
      <c r="D199" s="211" t="str">
        <f t="shared" si="6"/>
        <v/>
      </c>
      <c r="E199" s="210" t="str">
        <f t="shared" si="7"/>
        <v/>
      </c>
      <c r="F199" s="210"/>
      <c r="G199" s="210"/>
      <c r="H199" s="210"/>
      <c r="I199" s="210"/>
      <c r="J199" s="210"/>
      <c r="K199" s="210"/>
      <c r="L199" s="210"/>
      <c r="M199" s="210"/>
      <c r="N199" s="210"/>
      <c r="O199" s="196"/>
    </row>
    <row r="200" spans="1:15" s="212" customFormat="1" ht="15.75">
      <c r="A200" s="209" t="str">
        <f ca="1">IF(ISNA(VLOOKUP(D200,'Standard Smelter Names'!$B$3:$E$165,4,FALSE)),"",VLOOKUP(D200,'Standard Smelter Names'!$B$3:$E$165,4,FALSE))</f>
        <v/>
      </c>
      <c r="B200" s="210"/>
      <c r="C200" s="211"/>
      <c r="D200" s="211" t="str">
        <f t="shared" si="6"/>
        <v/>
      </c>
      <c r="E200" s="210" t="str">
        <f t="shared" si="7"/>
        <v/>
      </c>
      <c r="F200" s="210"/>
      <c r="G200" s="210"/>
      <c r="H200" s="210"/>
      <c r="I200" s="210"/>
      <c r="J200" s="210"/>
      <c r="K200" s="210"/>
      <c r="L200" s="210"/>
      <c r="M200" s="210"/>
      <c r="N200" s="210"/>
      <c r="O200" s="196"/>
    </row>
    <row r="201" spans="1:15" s="212" customFormat="1" ht="15.75">
      <c r="A201" s="209" t="str">
        <f ca="1">IF(ISNA(VLOOKUP(D201,'Standard Smelter Names'!$B$3:$E$165,4,FALSE)),"",VLOOKUP(D201,'Standard Smelter Names'!$B$3:$E$165,4,FALSE))</f>
        <v/>
      </c>
      <c r="B201" s="210"/>
      <c r="C201" s="211"/>
      <c r="D201" s="211" t="str">
        <f t="shared" si="6"/>
        <v/>
      </c>
      <c r="E201" s="210" t="str">
        <f t="shared" si="7"/>
        <v/>
      </c>
      <c r="F201" s="210"/>
      <c r="G201" s="210"/>
      <c r="H201" s="210"/>
      <c r="I201" s="210"/>
      <c r="J201" s="210"/>
      <c r="K201" s="210"/>
      <c r="L201" s="210"/>
      <c r="M201" s="210"/>
      <c r="N201" s="210"/>
      <c r="O201" s="196"/>
    </row>
    <row r="202" spans="1:15" s="212" customFormat="1" ht="15.75">
      <c r="A202" s="209" t="str">
        <f ca="1">IF(ISNA(VLOOKUP(D202,'Standard Smelter Names'!$B$3:$E$165,4,FALSE)),"",VLOOKUP(D202,'Standard Smelter Names'!$B$3:$E$165,4,FALSE))</f>
        <v/>
      </c>
      <c r="B202" s="210"/>
      <c r="C202" s="211"/>
      <c r="D202" s="211" t="str">
        <f t="shared" si="6"/>
        <v/>
      </c>
      <c r="E202" s="210" t="str">
        <f t="shared" si="7"/>
        <v/>
      </c>
      <c r="F202" s="210"/>
      <c r="G202" s="210"/>
      <c r="H202" s="210"/>
      <c r="I202" s="210"/>
      <c r="J202" s="210"/>
      <c r="K202" s="210"/>
      <c r="L202" s="210"/>
      <c r="M202" s="210"/>
      <c r="N202" s="210"/>
      <c r="O202" s="196"/>
    </row>
    <row r="203" spans="1:15" s="212" customFormat="1" ht="15.75">
      <c r="A203" s="209" t="str">
        <f ca="1">IF(ISNA(VLOOKUP(D203,'Standard Smelter Names'!$B$3:$E$165,4,FALSE)),"",VLOOKUP(D203,'Standard Smelter Names'!$B$3:$E$165,4,FALSE))</f>
        <v/>
      </c>
      <c r="B203" s="210"/>
      <c r="C203" s="211"/>
      <c r="D203" s="211" t="str">
        <f t="shared" si="6"/>
        <v/>
      </c>
      <c r="E203" s="210" t="str">
        <f t="shared" si="7"/>
        <v/>
      </c>
      <c r="F203" s="210"/>
      <c r="G203" s="210"/>
      <c r="H203" s="210"/>
      <c r="I203" s="210"/>
      <c r="J203" s="210"/>
      <c r="K203" s="210"/>
      <c r="L203" s="210"/>
      <c r="M203" s="210"/>
      <c r="N203" s="210"/>
      <c r="O203" s="196"/>
    </row>
    <row r="204" spans="1:15" s="212" customFormat="1" ht="15.75">
      <c r="A204" s="209" t="str">
        <f ca="1">IF(ISNA(VLOOKUP(D204,'Standard Smelter Names'!$B$3:$E$165,4,FALSE)),"",VLOOKUP(D204,'Standard Smelter Names'!$B$3:$E$165,4,FALSE))</f>
        <v/>
      </c>
      <c r="B204" s="210"/>
      <c r="C204" s="211"/>
      <c r="D204" s="211" t="str">
        <f t="shared" si="6"/>
        <v/>
      </c>
      <c r="E204" s="210" t="str">
        <f t="shared" si="7"/>
        <v/>
      </c>
      <c r="F204" s="210"/>
      <c r="G204" s="210"/>
      <c r="H204" s="210"/>
      <c r="I204" s="210"/>
      <c r="J204" s="210"/>
      <c r="K204" s="210"/>
      <c r="L204" s="210"/>
      <c r="M204" s="210"/>
      <c r="N204" s="210"/>
      <c r="O204" s="196"/>
    </row>
    <row r="205" spans="1:15" s="212" customFormat="1" ht="15.75">
      <c r="A205" s="209" t="str">
        <f ca="1">IF(ISNA(VLOOKUP(D205,'Standard Smelter Names'!$B$3:$E$165,4,FALSE)),"",VLOOKUP(D205,'Standard Smelter Names'!$B$3:$E$165,4,FALSE))</f>
        <v/>
      </c>
      <c r="B205" s="210"/>
      <c r="C205" s="211"/>
      <c r="D205" s="211" t="str">
        <f t="shared" si="6"/>
        <v/>
      </c>
      <c r="E205" s="210" t="str">
        <f t="shared" si="7"/>
        <v/>
      </c>
      <c r="F205" s="210"/>
      <c r="G205" s="210"/>
      <c r="H205" s="210"/>
      <c r="I205" s="210"/>
      <c r="J205" s="210"/>
      <c r="K205" s="210"/>
      <c r="L205" s="210"/>
      <c r="M205" s="210"/>
      <c r="N205" s="210"/>
      <c r="O205" s="196"/>
    </row>
    <row r="206" spans="1:15" s="212" customFormat="1" ht="15.75">
      <c r="A206" s="209" t="str">
        <f ca="1">IF(ISNA(VLOOKUP(D206,'Standard Smelter Names'!$B$3:$E$165,4,FALSE)),"",VLOOKUP(D206,'Standard Smelter Names'!$B$3:$E$165,4,FALSE))</f>
        <v/>
      </c>
      <c r="B206" s="210"/>
      <c r="C206" s="211"/>
      <c r="D206" s="211" t="str">
        <f t="shared" si="6"/>
        <v/>
      </c>
      <c r="E206" s="210" t="str">
        <f t="shared" si="7"/>
        <v/>
      </c>
      <c r="F206" s="210"/>
      <c r="G206" s="210"/>
      <c r="H206" s="210"/>
      <c r="I206" s="210"/>
      <c r="J206" s="210"/>
      <c r="K206" s="210"/>
      <c r="L206" s="210"/>
      <c r="M206" s="210"/>
      <c r="N206" s="210"/>
      <c r="O206" s="196"/>
    </row>
    <row r="207" spans="1:15" s="212" customFormat="1" ht="15.75">
      <c r="A207" s="209" t="str">
        <f ca="1">IF(ISNA(VLOOKUP(D207,'Standard Smelter Names'!$B$3:$E$165,4,FALSE)),"",VLOOKUP(D207,'Standard Smelter Names'!$B$3:$E$165,4,FALSE))</f>
        <v/>
      </c>
      <c r="B207" s="210"/>
      <c r="C207" s="211"/>
      <c r="D207" s="211" t="str">
        <f t="shared" si="6"/>
        <v/>
      </c>
      <c r="E207" s="210" t="str">
        <f t="shared" si="7"/>
        <v/>
      </c>
      <c r="F207" s="210"/>
      <c r="G207" s="210"/>
      <c r="H207" s="210"/>
      <c r="I207" s="210"/>
      <c r="J207" s="210"/>
      <c r="K207" s="210"/>
      <c r="L207" s="210"/>
      <c r="M207" s="210"/>
      <c r="N207" s="210"/>
      <c r="O207" s="196"/>
    </row>
    <row r="208" spans="1:15" s="212" customFormat="1" ht="15.75">
      <c r="A208" s="209" t="str">
        <f ca="1">IF(ISNA(VLOOKUP(D208,'Standard Smelter Names'!$B$3:$E$165,4,FALSE)),"",VLOOKUP(D208,'Standard Smelter Names'!$B$3:$E$165,4,FALSE))</f>
        <v/>
      </c>
      <c r="B208" s="210"/>
      <c r="C208" s="211"/>
      <c r="D208" s="211" t="str">
        <f t="shared" si="6"/>
        <v/>
      </c>
      <c r="E208" s="210" t="str">
        <f t="shared" si="7"/>
        <v/>
      </c>
      <c r="F208" s="210"/>
      <c r="G208" s="210"/>
      <c r="H208" s="210"/>
      <c r="I208" s="210"/>
      <c r="J208" s="210"/>
      <c r="K208" s="210"/>
      <c r="L208" s="210"/>
      <c r="M208" s="210"/>
      <c r="N208" s="210"/>
      <c r="O208" s="196"/>
    </row>
    <row r="209" spans="1:15" s="212" customFormat="1" ht="15.75">
      <c r="A209" s="209" t="str">
        <f ca="1">IF(ISNA(VLOOKUP(D209,'Standard Smelter Names'!$B$3:$E$165,4,FALSE)),"",VLOOKUP(D209,'Standard Smelter Names'!$B$3:$E$165,4,FALSE))</f>
        <v/>
      </c>
      <c r="B209" s="210"/>
      <c r="C209" s="211"/>
      <c r="D209" s="211" t="str">
        <f t="shared" si="6"/>
        <v/>
      </c>
      <c r="E209" s="210" t="str">
        <f t="shared" si="7"/>
        <v/>
      </c>
      <c r="F209" s="210"/>
      <c r="G209" s="210"/>
      <c r="H209" s="210"/>
      <c r="I209" s="210"/>
      <c r="J209" s="210"/>
      <c r="K209" s="210"/>
      <c r="L209" s="210"/>
      <c r="M209" s="210"/>
      <c r="N209" s="210"/>
      <c r="O209" s="196"/>
    </row>
    <row r="210" spans="1:15" s="212" customFormat="1" ht="15.75">
      <c r="A210" s="209" t="str">
        <f ca="1">IF(ISNA(VLOOKUP(D210,'Standard Smelter Names'!$B$3:$E$165,4,FALSE)),"",VLOOKUP(D210,'Standard Smelter Names'!$B$3:$E$165,4,FALSE))</f>
        <v/>
      </c>
      <c r="B210" s="210"/>
      <c r="C210" s="211"/>
      <c r="D210" s="211" t="str">
        <f t="shared" si="6"/>
        <v/>
      </c>
      <c r="E210" s="210" t="str">
        <f t="shared" si="7"/>
        <v/>
      </c>
      <c r="F210" s="210"/>
      <c r="G210" s="210"/>
      <c r="H210" s="210"/>
      <c r="I210" s="210"/>
      <c r="J210" s="210"/>
      <c r="K210" s="210"/>
      <c r="L210" s="210"/>
      <c r="M210" s="210"/>
      <c r="N210" s="210"/>
      <c r="O210" s="196"/>
    </row>
    <row r="211" spans="1:15" s="212" customFormat="1" ht="15.75">
      <c r="A211" s="209" t="str">
        <f ca="1">IF(ISNA(VLOOKUP(D211,'Standard Smelter Names'!$B$3:$E$165,4,FALSE)),"",VLOOKUP(D211,'Standard Smelter Names'!$B$3:$E$165,4,FALSE))</f>
        <v/>
      </c>
      <c r="B211" s="210"/>
      <c r="C211" s="211"/>
      <c r="D211" s="211" t="str">
        <f t="shared" si="6"/>
        <v/>
      </c>
      <c r="E211" s="210" t="str">
        <f t="shared" si="7"/>
        <v/>
      </c>
      <c r="F211" s="210"/>
      <c r="G211" s="210"/>
      <c r="H211" s="210"/>
      <c r="I211" s="210"/>
      <c r="J211" s="210"/>
      <c r="K211" s="210"/>
      <c r="L211" s="210"/>
      <c r="M211" s="210"/>
      <c r="N211" s="210"/>
      <c r="O211" s="196"/>
    </row>
    <row r="212" spans="1:15" s="212" customFormat="1" ht="15.75">
      <c r="A212" s="209" t="str">
        <f ca="1">IF(ISNA(VLOOKUP(D212,'Standard Smelter Names'!$B$3:$E$165,4,FALSE)),"",VLOOKUP(D212,'Standard Smelter Names'!$B$3:$E$165,4,FALSE))</f>
        <v/>
      </c>
      <c r="B212" s="210"/>
      <c r="C212" s="211"/>
      <c r="D212" s="211" t="str">
        <f t="shared" si="6"/>
        <v/>
      </c>
      <c r="E212" s="210" t="str">
        <f t="shared" si="7"/>
        <v/>
      </c>
      <c r="F212" s="210"/>
      <c r="G212" s="210"/>
      <c r="H212" s="210"/>
      <c r="I212" s="210"/>
      <c r="J212" s="210"/>
      <c r="K212" s="210"/>
      <c r="L212" s="210"/>
      <c r="M212" s="210"/>
      <c r="N212" s="210"/>
      <c r="O212" s="196"/>
    </row>
    <row r="213" spans="1:15" s="212" customFormat="1" ht="15.75">
      <c r="A213" s="209" t="str">
        <f ca="1">IF(ISNA(VLOOKUP(D213,'Standard Smelter Names'!$B$3:$E$165,4,FALSE)),"",VLOOKUP(D213,'Standard Smelter Names'!$B$3:$E$165,4,FALSE))</f>
        <v/>
      </c>
      <c r="B213" s="210"/>
      <c r="C213" s="211"/>
      <c r="D213" s="211" t="str">
        <f t="shared" si="6"/>
        <v/>
      </c>
      <c r="E213" s="210" t="str">
        <f t="shared" si="7"/>
        <v/>
      </c>
      <c r="F213" s="210"/>
      <c r="G213" s="210"/>
      <c r="H213" s="210"/>
      <c r="I213" s="210"/>
      <c r="J213" s="210"/>
      <c r="K213" s="210"/>
      <c r="L213" s="210"/>
      <c r="M213" s="210"/>
      <c r="N213" s="210"/>
      <c r="O213" s="196"/>
    </row>
    <row r="214" spans="1:15" s="212" customFormat="1" ht="15.75">
      <c r="A214" s="209" t="str">
        <f ca="1">IF(ISNA(VLOOKUP(D214,'Standard Smelter Names'!$B$3:$E$165,4,FALSE)),"",VLOOKUP(D214,'Standard Smelter Names'!$B$3:$E$165,4,FALSE))</f>
        <v/>
      </c>
      <c r="B214" s="210"/>
      <c r="C214" s="211"/>
      <c r="D214" s="211" t="str">
        <f t="shared" si="6"/>
        <v/>
      </c>
      <c r="E214" s="210" t="str">
        <f t="shared" si="7"/>
        <v/>
      </c>
      <c r="F214" s="210"/>
      <c r="G214" s="210"/>
      <c r="H214" s="210"/>
      <c r="I214" s="210"/>
      <c r="J214" s="210"/>
      <c r="K214" s="210"/>
      <c r="L214" s="210"/>
      <c r="M214" s="210"/>
      <c r="N214" s="210"/>
      <c r="O214" s="196"/>
    </row>
    <row r="215" spans="1:15" s="212" customFormat="1" ht="15.75">
      <c r="A215" s="209" t="str">
        <f ca="1">IF(ISNA(VLOOKUP(D215,'Standard Smelter Names'!$B$3:$E$165,4,FALSE)),"",VLOOKUP(D215,'Standard Smelter Names'!$B$3:$E$165,4,FALSE))</f>
        <v/>
      </c>
      <c r="B215" s="210"/>
      <c r="C215" s="211"/>
      <c r="D215" s="211" t="str">
        <f t="shared" si="6"/>
        <v/>
      </c>
      <c r="E215" s="210" t="str">
        <f t="shared" si="7"/>
        <v/>
      </c>
      <c r="F215" s="210"/>
      <c r="G215" s="210"/>
      <c r="H215" s="210"/>
      <c r="I215" s="210"/>
      <c r="J215" s="210"/>
      <c r="K215" s="210"/>
      <c r="L215" s="210"/>
      <c r="M215" s="210"/>
      <c r="N215" s="210"/>
      <c r="O215" s="196"/>
    </row>
    <row r="216" spans="1:15" s="212" customFormat="1" ht="15.75">
      <c r="A216" s="209" t="str">
        <f ca="1">IF(ISNA(VLOOKUP(D216,'Standard Smelter Names'!$B$3:$E$165,4,FALSE)),"",VLOOKUP(D216,'Standard Smelter Names'!$B$3:$E$165,4,FALSE))</f>
        <v/>
      </c>
      <c r="B216" s="210"/>
      <c r="C216" s="211"/>
      <c r="D216" s="211" t="str">
        <f t="shared" si="6"/>
        <v/>
      </c>
      <c r="E216" s="210" t="str">
        <f t="shared" si="7"/>
        <v/>
      </c>
      <c r="F216" s="210"/>
      <c r="G216" s="210"/>
      <c r="H216" s="210"/>
      <c r="I216" s="210"/>
      <c r="J216" s="210"/>
      <c r="K216" s="210"/>
      <c r="L216" s="210"/>
      <c r="M216" s="210"/>
      <c r="N216" s="210"/>
      <c r="O216" s="196"/>
    </row>
    <row r="217" spans="1:15" s="212" customFormat="1" ht="15.75">
      <c r="A217" s="209" t="str">
        <f ca="1">IF(ISNA(VLOOKUP(D217,'Standard Smelter Names'!$B$3:$E$165,4,FALSE)),"",VLOOKUP(D217,'Standard Smelter Names'!$B$3:$E$165,4,FALSE))</f>
        <v/>
      </c>
      <c r="B217" s="210"/>
      <c r="C217" s="211"/>
      <c r="D217" s="211" t="str">
        <f t="shared" si="6"/>
        <v/>
      </c>
      <c r="E217" s="210" t="str">
        <f t="shared" si="7"/>
        <v/>
      </c>
      <c r="F217" s="210"/>
      <c r="G217" s="210"/>
      <c r="H217" s="210"/>
      <c r="I217" s="210"/>
      <c r="J217" s="210"/>
      <c r="K217" s="210"/>
      <c r="L217" s="210"/>
      <c r="M217" s="210"/>
      <c r="N217" s="210"/>
      <c r="O217" s="196"/>
    </row>
    <row r="218" spans="1:15" s="212" customFormat="1" ht="15.75">
      <c r="A218" s="209" t="str">
        <f ca="1">IF(ISNA(VLOOKUP(D218,'Standard Smelter Names'!$B$3:$E$165,4,FALSE)),"",VLOOKUP(D218,'Standard Smelter Names'!$B$3:$E$165,4,FALSE))</f>
        <v/>
      </c>
      <c r="B218" s="210"/>
      <c r="C218" s="211"/>
      <c r="D218" s="211" t="str">
        <f t="shared" si="6"/>
        <v/>
      </c>
      <c r="E218" s="210" t="str">
        <f t="shared" si="7"/>
        <v/>
      </c>
      <c r="F218" s="210"/>
      <c r="G218" s="210"/>
      <c r="H218" s="210"/>
      <c r="I218" s="210"/>
      <c r="J218" s="210"/>
      <c r="K218" s="210"/>
      <c r="L218" s="210"/>
      <c r="M218" s="210"/>
      <c r="N218" s="210"/>
      <c r="O218" s="196"/>
    </row>
    <row r="219" spans="1:15" s="212" customFormat="1" ht="15.75">
      <c r="A219" s="209" t="str">
        <f ca="1">IF(ISNA(VLOOKUP(D219,'Standard Smelter Names'!$B$3:$E$165,4,FALSE)),"",VLOOKUP(D219,'Standard Smelter Names'!$B$3:$E$165,4,FALSE))</f>
        <v/>
      </c>
      <c r="B219" s="210"/>
      <c r="C219" s="211"/>
      <c r="D219" s="211" t="str">
        <f t="shared" si="6"/>
        <v/>
      </c>
      <c r="E219" s="210" t="str">
        <f t="shared" si="7"/>
        <v/>
      </c>
      <c r="F219" s="210"/>
      <c r="G219" s="210"/>
      <c r="H219" s="210"/>
      <c r="I219" s="210"/>
      <c r="J219" s="210"/>
      <c r="K219" s="210"/>
      <c r="L219" s="210"/>
      <c r="M219" s="210"/>
      <c r="N219" s="210"/>
      <c r="O219" s="196"/>
    </row>
    <row r="220" spans="1:15" s="212" customFormat="1" ht="15.75">
      <c r="A220" s="209" t="str">
        <f ca="1">IF(ISNA(VLOOKUP(D220,'Standard Smelter Names'!$B$3:$E$165,4,FALSE)),"",VLOOKUP(D220,'Standard Smelter Names'!$B$3:$E$165,4,FALSE))</f>
        <v/>
      </c>
      <c r="B220" s="210"/>
      <c r="C220" s="211"/>
      <c r="D220" s="211" t="str">
        <f t="shared" si="6"/>
        <v/>
      </c>
      <c r="E220" s="210" t="str">
        <f t="shared" si="7"/>
        <v/>
      </c>
      <c r="F220" s="210"/>
      <c r="G220" s="210"/>
      <c r="H220" s="210"/>
      <c r="I220" s="210"/>
      <c r="J220" s="210"/>
      <c r="K220" s="210"/>
      <c r="L220" s="210"/>
      <c r="M220" s="210"/>
      <c r="N220" s="210"/>
      <c r="O220" s="196"/>
    </row>
    <row r="221" spans="1:15" s="212" customFormat="1" ht="15.75">
      <c r="A221" s="209" t="str">
        <f ca="1">IF(ISNA(VLOOKUP(D221,'Standard Smelter Names'!$B$3:$E$165,4,FALSE)),"",VLOOKUP(D221,'Standard Smelter Names'!$B$3:$E$165,4,FALSE))</f>
        <v/>
      </c>
      <c r="B221" s="210"/>
      <c r="C221" s="211"/>
      <c r="D221" s="211" t="str">
        <f t="shared" si="6"/>
        <v/>
      </c>
      <c r="E221" s="210" t="str">
        <f t="shared" si="7"/>
        <v/>
      </c>
      <c r="F221" s="210"/>
      <c r="G221" s="210"/>
      <c r="H221" s="210"/>
      <c r="I221" s="210"/>
      <c r="J221" s="210"/>
      <c r="K221" s="210"/>
      <c r="L221" s="210"/>
      <c r="M221" s="210"/>
      <c r="N221" s="210"/>
      <c r="O221" s="196"/>
    </row>
    <row r="222" spans="1:15" s="212" customFormat="1" ht="15.75">
      <c r="A222" s="209" t="str">
        <f ca="1">IF(ISNA(VLOOKUP(D222,'Standard Smelter Names'!$B$3:$E$165,4,FALSE)),"",VLOOKUP(D222,'Standard Smelter Names'!$B$3:$E$165,4,FALSE))</f>
        <v/>
      </c>
      <c r="B222" s="210"/>
      <c r="C222" s="211"/>
      <c r="D222" s="211" t="str">
        <f t="shared" si="6"/>
        <v/>
      </c>
      <c r="E222" s="210" t="str">
        <f t="shared" si="7"/>
        <v/>
      </c>
      <c r="F222" s="210"/>
      <c r="G222" s="210"/>
      <c r="H222" s="210"/>
      <c r="I222" s="210"/>
      <c r="J222" s="210"/>
      <c r="K222" s="210"/>
      <c r="L222" s="210"/>
      <c r="M222" s="210"/>
      <c r="N222" s="210"/>
      <c r="O222" s="196"/>
    </row>
    <row r="223" spans="1:15" s="212" customFormat="1" ht="15.75">
      <c r="A223" s="209" t="str">
        <f ca="1">IF(ISNA(VLOOKUP(D223,'Standard Smelter Names'!$B$3:$E$165,4,FALSE)),"",VLOOKUP(D223,'Standard Smelter Names'!$B$3:$E$165,4,FALSE))</f>
        <v/>
      </c>
      <c r="B223" s="210"/>
      <c r="C223" s="211"/>
      <c r="D223" s="211" t="str">
        <f t="shared" si="6"/>
        <v/>
      </c>
      <c r="E223" s="210" t="str">
        <f t="shared" si="7"/>
        <v/>
      </c>
      <c r="F223" s="210"/>
      <c r="G223" s="210"/>
      <c r="H223" s="210"/>
      <c r="I223" s="210"/>
      <c r="J223" s="210"/>
      <c r="K223" s="210"/>
      <c r="L223" s="210"/>
      <c r="M223" s="210"/>
      <c r="N223" s="210"/>
      <c r="O223" s="196"/>
    </row>
    <row r="224" spans="1:15" s="212" customFormat="1" ht="15.75">
      <c r="A224" s="209" t="str">
        <f ca="1">IF(ISNA(VLOOKUP(D224,'Standard Smelter Names'!$B$3:$E$165,4,FALSE)),"",VLOOKUP(D224,'Standard Smelter Names'!$B$3:$E$165,4,FALSE))</f>
        <v/>
      </c>
      <c r="B224" s="210"/>
      <c r="C224" s="211"/>
      <c r="D224" s="211" t="str">
        <f t="shared" si="6"/>
        <v/>
      </c>
      <c r="E224" s="210" t="str">
        <f t="shared" si="7"/>
        <v/>
      </c>
      <c r="F224" s="210"/>
      <c r="G224" s="210"/>
      <c r="H224" s="210"/>
      <c r="I224" s="210"/>
      <c r="J224" s="210"/>
      <c r="K224" s="210"/>
      <c r="L224" s="210"/>
      <c r="M224" s="210"/>
      <c r="N224" s="210"/>
      <c r="O224" s="196"/>
    </row>
    <row r="225" spans="1:15" s="212" customFormat="1" ht="15.75">
      <c r="A225" s="209" t="str">
        <f ca="1">IF(ISNA(VLOOKUP(D225,'Standard Smelter Names'!$B$3:$E$165,4,FALSE)),"",VLOOKUP(D225,'Standard Smelter Names'!$B$3:$E$165,4,FALSE))</f>
        <v/>
      </c>
      <c r="B225" s="210"/>
      <c r="C225" s="211"/>
      <c r="D225" s="211" t="str">
        <f t="shared" si="6"/>
        <v/>
      </c>
      <c r="E225" s="210" t="str">
        <f t="shared" si="7"/>
        <v/>
      </c>
      <c r="F225" s="210"/>
      <c r="G225" s="210"/>
      <c r="H225" s="210"/>
      <c r="I225" s="210"/>
      <c r="J225" s="210"/>
      <c r="K225" s="210"/>
      <c r="L225" s="210"/>
      <c r="M225" s="210"/>
      <c r="N225" s="210"/>
      <c r="O225" s="196"/>
    </row>
    <row r="226" spans="1:15" s="212" customFormat="1" ht="15.75">
      <c r="A226" s="209" t="str">
        <f ca="1">IF(ISNA(VLOOKUP(D226,'Standard Smelter Names'!$B$3:$E$165,4,FALSE)),"",VLOOKUP(D226,'Standard Smelter Names'!$B$3:$E$165,4,FALSE))</f>
        <v/>
      </c>
      <c r="B226" s="210"/>
      <c r="C226" s="211"/>
      <c r="D226" s="211" t="str">
        <f t="shared" si="6"/>
        <v/>
      </c>
      <c r="E226" s="210" t="str">
        <f t="shared" si="7"/>
        <v/>
      </c>
      <c r="F226" s="210"/>
      <c r="G226" s="210"/>
      <c r="H226" s="210"/>
      <c r="I226" s="210"/>
      <c r="J226" s="210"/>
      <c r="K226" s="210"/>
      <c r="L226" s="210"/>
      <c r="M226" s="210"/>
      <c r="N226" s="210"/>
      <c r="O226" s="196"/>
    </row>
    <row r="227" spans="1:15" s="212" customFormat="1" ht="15.75">
      <c r="A227" s="209" t="str">
        <f ca="1">IF(ISNA(VLOOKUP(D227,'Standard Smelter Names'!$B$3:$E$165,4,FALSE)),"",VLOOKUP(D227,'Standard Smelter Names'!$B$3:$E$165,4,FALSE))</f>
        <v/>
      </c>
      <c r="B227" s="210"/>
      <c r="C227" s="211"/>
      <c r="D227" s="211" t="str">
        <f t="shared" si="6"/>
        <v/>
      </c>
      <c r="E227" s="210" t="str">
        <f t="shared" si="7"/>
        <v/>
      </c>
      <c r="F227" s="210"/>
      <c r="G227" s="210"/>
      <c r="H227" s="210"/>
      <c r="I227" s="210"/>
      <c r="J227" s="210"/>
      <c r="K227" s="210"/>
      <c r="L227" s="210"/>
      <c r="M227" s="210"/>
      <c r="N227" s="210"/>
      <c r="O227" s="196"/>
    </row>
    <row r="228" spans="1:15" s="212" customFormat="1" ht="15.75">
      <c r="A228" s="209" t="str">
        <f ca="1">IF(ISNA(VLOOKUP(D228,'Standard Smelter Names'!$B$3:$E$165,4,FALSE)),"",VLOOKUP(D228,'Standard Smelter Names'!$B$3:$E$165,4,FALSE))</f>
        <v/>
      </c>
      <c r="B228" s="210"/>
      <c r="C228" s="211"/>
      <c r="D228" s="211" t="str">
        <f t="shared" si="6"/>
        <v/>
      </c>
      <c r="E228" s="210" t="str">
        <f t="shared" si="7"/>
        <v/>
      </c>
      <c r="F228" s="210"/>
      <c r="G228" s="210"/>
      <c r="H228" s="210"/>
      <c r="I228" s="210"/>
      <c r="J228" s="210"/>
      <c r="K228" s="210"/>
      <c r="L228" s="210"/>
      <c r="M228" s="210"/>
      <c r="N228" s="210"/>
      <c r="O228" s="196"/>
    </row>
    <row r="229" spans="1:15" s="212" customFormat="1" ht="15.75">
      <c r="A229" s="209" t="str">
        <f ca="1">IF(ISNA(VLOOKUP(D229,'Standard Smelter Names'!$B$3:$E$165,4,FALSE)),"",VLOOKUP(D229,'Standard Smelter Names'!$B$3:$E$165,4,FALSE))</f>
        <v/>
      </c>
      <c r="B229" s="210"/>
      <c r="C229" s="211"/>
      <c r="D229" s="211" t="str">
        <f t="shared" si="6"/>
        <v/>
      </c>
      <c r="E229" s="210" t="str">
        <f t="shared" si="7"/>
        <v/>
      </c>
      <c r="F229" s="210"/>
      <c r="G229" s="210"/>
      <c r="H229" s="210"/>
      <c r="I229" s="210"/>
      <c r="J229" s="210"/>
      <c r="K229" s="210"/>
      <c r="L229" s="210"/>
      <c r="M229" s="210"/>
      <c r="N229" s="210"/>
      <c r="O229" s="196"/>
    </row>
    <row r="230" spans="1:15" s="212" customFormat="1" ht="15.75">
      <c r="A230" s="209" t="str">
        <f ca="1">IF(ISNA(VLOOKUP(D230,'Standard Smelter Names'!$B$3:$E$165,4,FALSE)),"",VLOOKUP(D230,'Standard Smelter Names'!$B$3:$E$165,4,FALSE))</f>
        <v/>
      </c>
      <c r="B230" s="210"/>
      <c r="C230" s="211"/>
      <c r="D230" s="211" t="str">
        <f t="shared" si="6"/>
        <v/>
      </c>
      <c r="E230" s="210" t="str">
        <f t="shared" si="7"/>
        <v/>
      </c>
      <c r="F230" s="210"/>
      <c r="G230" s="210"/>
      <c r="H230" s="210"/>
      <c r="I230" s="210"/>
      <c r="J230" s="210"/>
      <c r="K230" s="210"/>
      <c r="L230" s="210"/>
      <c r="M230" s="210"/>
      <c r="N230" s="210"/>
      <c r="O230" s="196"/>
    </row>
    <row r="231" spans="1:15" s="212" customFormat="1" ht="15.75">
      <c r="A231" s="209" t="str">
        <f ca="1">IF(ISNA(VLOOKUP(D231,'Standard Smelter Names'!$B$3:$E$165,4,FALSE)),"",VLOOKUP(D231,'Standard Smelter Names'!$B$3:$E$165,4,FALSE))</f>
        <v/>
      </c>
      <c r="B231" s="210"/>
      <c r="C231" s="211"/>
      <c r="D231" s="211" t="str">
        <f t="shared" si="6"/>
        <v/>
      </c>
      <c r="E231" s="210" t="str">
        <f t="shared" si="7"/>
        <v/>
      </c>
      <c r="F231" s="210"/>
      <c r="G231" s="210"/>
      <c r="H231" s="210"/>
      <c r="I231" s="210"/>
      <c r="J231" s="210"/>
      <c r="K231" s="210"/>
      <c r="L231" s="210"/>
      <c r="M231" s="210"/>
      <c r="N231" s="210"/>
      <c r="O231" s="196"/>
    </row>
    <row r="232" spans="1:15" s="212" customFormat="1" ht="15.75">
      <c r="A232" s="209" t="str">
        <f ca="1">IF(ISNA(VLOOKUP(D232,'Standard Smelter Names'!$B$3:$E$165,4,FALSE)),"",VLOOKUP(D232,'Standard Smelter Names'!$B$3:$E$165,4,FALSE))</f>
        <v/>
      </c>
      <c r="B232" s="210"/>
      <c r="C232" s="211"/>
      <c r="D232" s="211" t="str">
        <f t="shared" si="6"/>
        <v/>
      </c>
      <c r="E232" s="210" t="str">
        <f t="shared" si="7"/>
        <v/>
      </c>
      <c r="F232" s="210"/>
      <c r="G232" s="210"/>
      <c r="H232" s="210"/>
      <c r="I232" s="210"/>
      <c r="J232" s="210"/>
      <c r="K232" s="210"/>
      <c r="L232" s="210"/>
      <c r="M232" s="210"/>
      <c r="N232" s="210"/>
      <c r="O232" s="196"/>
    </row>
    <row r="233" spans="1:15" s="212" customFormat="1" ht="15.75">
      <c r="A233" s="209" t="str">
        <f ca="1">IF(ISNA(VLOOKUP(D233,'Standard Smelter Names'!$B$3:$E$165,4,FALSE)),"",VLOOKUP(D233,'Standard Smelter Names'!$B$3:$E$165,4,FALSE))</f>
        <v/>
      </c>
      <c r="B233" s="210"/>
      <c r="C233" s="211"/>
      <c r="D233" s="211" t="str">
        <f t="shared" si="6"/>
        <v/>
      </c>
      <c r="E233" s="210" t="str">
        <f t="shared" si="7"/>
        <v/>
      </c>
      <c r="F233" s="210"/>
      <c r="G233" s="210"/>
      <c r="H233" s="210"/>
      <c r="I233" s="210"/>
      <c r="J233" s="210"/>
      <c r="K233" s="210"/>
      <c r="L233" s="210"/>
      <c r="M233" s="210"/>
      <c r="N233" s="210"/>
      <c r="O233" s="196"/>
    </row>
    <row r="234" spans="1:15" s="212" customFormat="1" ht="15.75">
      <c r="A234" s="209" t="str">
        <f ca="1">IF(ISNA(VLOOKUP(D234,'Standard Smelter Names'!$B$3:$E$165,4,FALSE)),"",VLOOKUP(D234,'Standard Smelter Names'!$B$3:$E$165,4,FALSE))</f>
        <v/>
      </c>
      <c r="B234" s="210"/>
      <c r="C234" s="211"/>
      <c r="D234" s="211" t="str">
        <f t="shared" si="6"/>
        <v/>
      </c>
      <c r="E234" s="210" t="str">
        <f t="shared" si="7"/>
        <v/>
      </c>
      <c r="F234" s="210"/>
      <c r="G234" s="210"/>
      <c r="H234" s="210"/>
      <c r="I234" s="210"/>
      <c r="J234" s="210"/>
      <c r="K234" s="210"/>
      <c r="L234" s="210"/>
      <c r="M234" s="210"/>
      <c r="N234" s="210"/>
      <c r="O234" s="196"/>
    </row>
    <row r="235" spans="1:15" s="212" customFormat="1" ht="15.75">
      <c r="A235" s="209" t="str">
        <f ca="1">IF(ISNA(VLOOKUP(D235,'Standard Smelter Names'!$B$3:$E$165,4,FALSE)),"",VLOOKUP(D235,'Standard Smelter Names'!$B$3:$E$165,4,FALSE))</f>
        <v/>
      </c>
      <c r="B235" s="210"/>
      <c r="C235" s="211"/>
      <c r="D235" s="211" t="str">
        <f t="shared" si="6"/>
        <v/>
      </c>
      <c r="E235" s="210" t="str">
        <f t="shared" si="7"/>
        <v/>
      </c>
      <c r="F235" s="210"/>
      <c r="G235" s="210"/>
      <c r="H235" s="210"/>
      <c r="I235" s="210"/>
      <c r="J235" s="210"/>
      <c r="K235" s="210"/>
      <c r="L235" s="210"/>
      <c r="M235" s="210"/>
      <c r="N235" s="210"/>
      <c r="O235" s="196"/>
    </row>
    <row r="236" spans="1:15" s="212" customFormat="1" ht="15.75">
      <c r="A236" s="209" t="str">
        <f ca="1">IF(ISNA(VLOOKUP(D236,'Standard Smelter Names'!$B$3:$E$165,4,FALSE)),"",VLOOKUP(D236,'Standard Smelter Names'!$B$3:$E$165,4,FALSE))</f>
        <v/>
      </c>
      <c r="B236" s="210"/>
      <c r="C236" s="211"/>
      <c r="D236" s="211" t="str">
        <f t="shared" si="6"/>
        <v/>
      </c>
      <c r="E236" s="210" t="str">
        <f t="shared" si="7"/>
        <v/>
      </c>
      <c r="F236" s="210"/>
      <c r="G236" s="210"/>
      <c r="H236" s="210"/>
      <c r="I236" s="210"/>
      <c r="J236" s="210"/>
      <c r="K236" s="210"/>
      <c r="L236" s="210"/>
      <c r="M236" s="210"/>
      <c r="N236" s="210"/>
      <c r="O236" s="196"/>
    </row>
    <row r="237" spans="1:15" s="212" customFormat="1" ht="15.75">
      <c r="A237" s="209" t="str">
        <f ca="1">IF(ISNA(VLOOKUP(D237,'Standard Smelter Names'!$B$3:$E$165,4,FALSE)),"",VLOOKUP(D237,'Standard Smelter Names'!$B$3:$E$165,4,FALSE))</f>
        <v/>
      </c>
      <c r="B237" s="210"/>
      <c r="C237" s="211"/>
      <c r="D237" s="211" t="str">
        <f t="shared" si="6"/>
        <v/>
      </c>
      <c r="E237" s="210" t="str">
        <f t="shared" si="7"/>
        <v/>
      </c>
      <c r="F237" s="210"/>
      <c r="G237" s="210"/>
      <c r="H237" s="210"/>
      <c r="I237" s="210"/>
      <c r="J237" s="210"/>
      <c r="K237" s="210"/>
      <c r="L237" s="210"/>
      <c r="M237" s="210"/>
      <c r="N237" s="210"/>
      <c r="O237" s="196"/>
    </row>
    <row r="238" spans="1:15" s="212" customFormat="1" ht="15.75">
      <c r="A238" s="209" t="str">
        <f ca="1">IF(ISNA(VLOOKUP(D238,'Standard Smelter Names'!$B$3:$E$165,4,FALSE)),"",VLOOKUP(D238,'Standard Smelter Names'!$B$3:$E$165,4,FALSE))</f>
        <v/>
      </c>
      <c r="B238" s="210"/>
      <c r="C238" s="211"/>
      <c r="D238" s="211" t="str">
        <f t="shared" si="6"/>
        <v/>
      </c>
      <c r="E238" s="210" t="str">
        <f t="shared" si="7"/>
        <v/>
      </c>
      <c r="F238" s="210"/>
      <c r="G238" s="210"/>
      <c r="H238" s="210"/>
      <c r="I238" s="210"/>
      <c r="J238" s="210"/>
      <c r="K238" s="210"/>
      <c r="L238" s="210"/>
      <c r="M238" s="210"/>
      <c r="N238" s="210"/>
      <c r="O238" s="196"/>
    </row>
    <row r="239" spans="1:15" s="212" customFormat="1" ht="15.75">
      <c r="A239" s="209" t="str">
        <f ca="1">IF(ISNA(VLOOKUP(D239,'Standard Smelter Names'!$B$3:$E$165,4,FALSE)),"",VLOOKUP(D239,'Standard Smelter Names'!$B$3:$E$165,4,FALSE))</f>
        <v/>
      </c>
      <c r="B239" s="210"/>
      <c r="C239" s="211"/>
      <c r="D239" s="211" t="str">
        <f t="shared" si="6"/>
        <v/>
      </c>
      <c r="E239" s="210" t="str">
        <f t="shared" si="7"/>
        <v/>
      </c>
      <c r="F239" s="210"/>
      <c r="G239" s="210"/>
      <c r="H239" s="210"/>
      <c r="I239" s="210"/>
      <c r="J239" s="210"/>
      <c r="K239" s="210"/>
      <c r="L239" s="210"/>
      <c r="M239" s="210"/>
      <c r="N239" s="210"/>
      <c r="O239" s="196"/>
    </row>
    <row r="240" spans="1:15" s="212" customFormat="1" ht="15.75">
      <c r="A240" s="209" t="str">
        <f ca="1">IF(ISNA(VLOOKUP(D240,'Standard Smelter Names'!$B$3:$E$165,4,FALSE)),"",VLOOKUP(D240,'Standard Smelter Names'!$B$3:$E$165,4,FALSE))</f>
        <v/>
      </c>
      <c r="B240" s="210"/>
      <c r="C240" s="211"/>
      <c r="D240" s="211" t="str">
        <f t="shared" si="6"/>
        <v/>
      </c>
      <c r="E240" s="210" t="str">
        <f t="shared" si="7"/>
        <v/>
      </c>
      <c r="F240" s="210"/>
      <c r="G240" s="210"/>
      <c r="H240" s="210"/>
      <c r="I240" s="210"/>
      <c r="J240" s="210"/>
      <c r="K240" s="210"/>
      <c r="L240" s="210"/>
      <c r="M240" s="210"/>
      <c r="N240" s="210"/>
      <c r="O240" s="196"/>
    </row>
    <row r="241" spans="1:15" s="212" customFormat="1" ht="15.75">
      <c r="A241" s="209" t="str">
        <f ca="1">IF(ISNA(VLOOKUP(D241,'Standard Smelter Names'!$B$3:$E$165,4,FALSE)),"",VLOOKUP(D241,'Standard Smelter Names'!$B$3:$E$165,4,FALSE))</f>
        <v/>
      </c>
      <c r="B241" s="210"/>
      <c r="C241" s="211"/>
      <c r="D241" s="211" t="str">
        <f t="shared" si="6"/>
        <v/>
      </c>
      <c r="E241" s="210" t="str">
        <f t="shared" si="7"/>
        <v/>
      </c>
      <c r="F241" s="210"/>
      <c r="G241" s="210"/>
      <c r="H241" s="210"/>
      <c r="I241" s="210"/>
      <c r="J241" s="210"/>
      <c r="K241" s="210"/>
      <c r="L241" s="210"/>
      <c r="M241" s="210"/>
      <c r="N241" s="210"/>
      <c r="O241" s="196"/>
    </row>
    <row r="242" spans="1:15" s="212" customFormat="1" ht="15.75">
      <c r="A242" s="209" t="str">
        <f ca="1">IF(ISNA(VLOOKUP(D242,'Standard Smelter Names'!$B$3:$E$165,4,FALSE)),"",VLOOKUP(D242,'Standard Smelter Names'!$B$3:$E$165,4,FALSE))</f>
        <v/>
      </c>
      <c r="B242" s="210"/>
      <c r="C242" s="211"/>
      <c r="D242" s="211" t="str">
        <f t="shared" si="6"/>
        <v/>
      </c>
      <c r="E242" s="210" t="str">
        <f t="shared" si="7"/>
        <v/>
      </c>
      <c r="F242" s="210"/>
      <c r="G242" s="210"/>
      <c r="H242" s="210"/>
      <c r="I242" s="210"/>
      <c r="J242" s="210"/>
      <c r="K242" s="210"/>
      <c r="L242" s="210"/>
      <c r="M242" s="210"/>
      <c r="N242" s="210"/>
      <c r="O242" s="196"/>
    </row>
    <row r="243" spans="1:15" s="212" customFormat="1" ht="15.75">
      <c r="A243" s="209" t="str">
        <f ca="1">IF(ISNA(VLOOKUP(D243,'Standard Smelter Names'!$B$3:$E$165,4,FALSE)),"",VLOOKUP(D243,'Standard Smelter Names'!$B$3:$E$165,4,FALSE))</f>
        <v/>
      </c>
      <c r="B243" s="210"/>
      <c r="C243" s="211"/>
      <c r="D243" s="211" t="str">
        <f t="shared" si="6"/>
        <v/>
      </c>
      <c r="E243" s="210" t="str">
        <f t="shared" si="7"/>
        <v/>
      </c>
      <c r="F243" s="210"/>
      <c r="G243" s="210"/>
      <c r="H243" s="210"/>
      <c r="I243" s="210"/>
      <c r="J243" s="210"/>
      <c r="K243" s="210"/>
      <c r="L243" s="210"/>
      <c r="M243" s="210"/>
      <c r="N243" s="210"/>
      <c r="O243" s="196"/>
    </row>
    <row r="244" spans="1:15" s="212" customFormat="1" ht="15.75">
      <c r="A244" s="209" t="str">
        <f ca="1">IF(ISNA(VLOOKUP(D244,'Standard Smelter Names'!$B$3:$E$165,4,FALSE)),"",VLOOKUP(D244,'Standard Smelter Names'!$B$3:$E$165,4,FALSE))</f>
        <v/>
      </c>
      <c r="B244" s="210"/>
      <c r="C244" s="211"/>
      <c r="D244" s="211" t="str">
        <f t="shared" si="6"/>
        <v/>
      </c>
      <c r="E244" s="210" t="str">
        <f t="shared" si="7"/>
        <v/>
      </c>
      <c r="F244" s="210"/>
      <c r="G244" s="210"/>
      <c r="H244" s="210"/>
      <c r="I244" s="210"/>
      <c r="J244" s="210"/>
      <c r="K244" s="210"/>
      <c r="L244" s="210"/>
      <c r="M244" s="210"/>
      <c r="N244" s="210"/>
      <c r="O244" s="196"/>
    </row>
    <row r="245" spans="1:15" s="212" customFormat="1" ht="15.75">
      <c r="A245" s="209" t="str">
        <f ca="1">IF(ISNA(VLOOKUP(D245,'Standard Smelter Names'!$B$3:$E$165,4,FALSE)),"",VLOOKUP(D245,'Standard Smelter Names'!$B$3:$E$165,4,FALSE))</f>
        <v/>
      </c>
      <c r="B245" s="210"/>
      <c r="C245" s="211"/>
      <c r="D245" s="211" t="str">
        <f t="shared" si="6"/>
        <v/>
      </c>
      <c r="E245" s="210" t="str">
        <f t="shared" si="7"/>
        <v/>
      </c>
      <c r="F245" s="210"/>
      <c r="G245" s="210"/>
      <c r="H245" s="210"/>
      <c r="I245" s="210"/>
      <c r="J245" s="210"/>
      <c r="K245" s="210"/>
      <c r="L245" s="210"/>
      <c r="M245" s="210"/>
      <c r="N245" s="210"/>
      <c r="O245" s="196"/>
    </row>
    <row r="246" spans="1:15" s="212" customFormat="1" ht="15.75">
      <c r="A246" s="209" t="str">
        <f ca="1">IF(ISNA(VLOOKUP(D246,'Standard Smelter Names'!$B$3:$E$165,4,FALSE)),"",VLOOKUP(D246,'Standard Smelter Names'!$B$3:$E$165,4,FALSE))</f>
        <v/>
      </c>
      <c r="B246" s="210"/>
      <c r="C246" s="211"/>
      <c r="D246" s="211" t="str">
        <f t="shared" si="6"/>
        <v/>
      </c>
      <c r="E246" s="210" t="str">
        <f t="shared" si="7"/>
        <v/>
      </c>
      <c r="F246" s="210"/>
      <c r="G246" s="210"/>
      <c r="H246" s="210"/>
      <c r="I246" s="210"/>
      <c r="J246" s="210"/>
      <c r="K246" s="210"/>
      <c r="L246" s="210"/>
      <c r="M246" s="210"/>
      <c r="N246" s="210"/>
      <c r="O246" s="196"/>
    </row>
    <row r="247" spans="1:15" s="212" customFormat="1" ht="15.75">
      <c r="A247" s="209" t="str">
        <f ca="1">IF(ISNA(VLOOKUP(D247,'Standard Smelter Names'!$B$3:$E$165,4,FALSE)),"",VLOOKUP(D247,'Standard Smelter Names'!$B$3:$E$165,4,FALSE))</f>
        <v/>
      </c>
      <c r="B247" s="210"/>
      <c r="C247" s="211"/>
      <c r="D247" s="211" t="str">
        <f t="shared" si="6"/>
        <v/>
      </c>
      <c r="E247" s="210" t="str">
        <f t="shared" si="7"/>
        <v/>
      </c>
      <c r="F247" s="210"/>
      <c r="G247" s="210"/>
      <c r="H247" s="210"/>
      <c r="I247" s="210"/>
      <c r="J247" s="210"/>
      <c r="K247" s="210"/>
      <c r="L247" s="210"/>
      <c r="M247" s="210"/>
      <c r="N247" s="210"/>
      <c r="O247" s="196"/>
    </row>
    <row r="248" spans="1:15" s="212" customFormat="1" ht="15.75">
      <c r="A248" s="209" t="str">
        <f ca="1">IF(ISNA(VLOOKUP(D248,'Standard Smelter Names'!$B$3:$E$165,4,FALSE)),"",VLOOKUP(D248,'Standard Smelter Names'!$B$3:$E$165,4,FALSE))</f>
        <v/>
      </c>
      <c r="B248" s="210"/>
      <c r="C248" s="211"/>
      <c r="D248" s="211" t="str">
        <f t="shared" si="6"/>
        <v/>
      </c>
      <c r="E248" s="210" t="str">
        <f t="shared" si="7"/>
        <v/>
      </c>
      <c r="F248" s="210"/>
      <c r="G248" s="210"/>
      <c r="H248" s="210"/>
      <c r="I248" s="210"/>
      <c r="J248" s="210"/>
      <c r="K248" s="210"/>
      <c r="L248" s="210"/>
      <c r="M248" s="210"/>
      <c r="N248" s="210"/>
      <c r="O248" s="196"/>
    </row>
    <row r="249" spans="1:15" s="212" customFormat="1" ht="15.75">
      <c r="A249" s="209" t="str">
        <f ca="1">IF(ISNA(VLOOKUP(D249,'Standard Smelter Names'!$B$3:$E$165,4,FALSE)),"",VLOOKUP(D249,'Standard Smelter Names'!$B$3:$E$165,4,FALSE))</f>
        <v/>
      </c>
      <c r="B249" s="210"/>
      <c r="C249" s="211"/>
      <c r="D249" s="211" t="str">
        <f t="shared" si="6"/>
        <v/>
      </c>
      <c r="E249" s="210" t="str">
        <f t="shared" si="7"/>
        <v/>
      </c>
      <c r="F249" s="210"/>
      <c r="G249" s="210"/>
      <c r="H249" s="210"/>
      <c r="I249" s="210"/>
      <c r="J249" s="210"/>
      <c r="K249" s="210"/>
      <c r="L249" s="210"/>
      <c r="M249" s="210"/>
      <c r="N249" s="210"/>
      <c r="O249" s="196"/>
    </row>
    <row r="250" spans="1:15" s="212" customFormat="1" ht="15.75">
      <c r="A250" s="209" t="str">
        <f ca="1">IF(ISNA(VLOOKUP(D250,'Standard Smelter Names'!$B$3:$E$165,4,FALSE)),"",VLOOKUP(D250,'Standard Smelter Names'!$B$3:$E$165,4,FALSE))</f>
        <v/>
      </c>
      <c r="B250" s="210"/>
      <c r="C250" s="211"/>
      <c r="D250" s="211" t="str">
        <f t="shared" si="6"/>
        <v/>
      </c>
      <c r="E250" s="210" t="str">
        <f t="shared" si="7"/>
        <v/>
      </c>
      <c r="F250" s="210"/>
      <c r="G250" s="210"/>
      <c r="H250" s="210"/>
      <c r="I250" s="210"/>
      <c r="J250" s="210"/>
      <c r="K250" s="210"/>
      <c r="L250" s="210"/>
      <c r="M250" s="210"/>
      <c r="N250" s="210"/>
      <c r="O250" s="196"/>
    </row>
    <row r="251" spans="1:15" s="212" customFormat="1" ht="15.75">
      <c r="A251" s="209" t="str">
        <f ca="1">IF(ISNA(VLOOKUP(D251,'Standard Smelter Names'!$B$3:$E$165,4,FALSE)),"",VLOOKUP(D251,'Standard Smelter Names'!$B$3:$E$165,4,FALSE))</f>
        <v/>
      </c>
      <c r="B251" s="210"/>
      <c r="C251" s="211"/>
      <c r="D251" s="211" t="str">
        <f t="shared" si="6"/>
        <v/>
      </c>
      <c r="E251" s="210" t="str">
        <f t="shared" si="7"/>
        <v/>
      </c>
      <c r="F251" s="210"/>
      <c r="G251" s="210"/>
      <c r="H251" s="210"/>
      <c r="I251" s="210"/>
      <c r="J251" s="210"/>
      <c r="K251" s="210"/>
      <c r="L251" s="210"/>
      <c r="M251" s="210"/>
      <c r="N251" s="210"/>
      <c r="O251" s="196"/>
    </row>
    <row r="252" spans="1:15" s="212" customFormat="1" ht="15.75">
      <c r="A252" s="209" t="str">
        <f ca="1">IF(ISNA(VLOOKUP(D252,'Standard Smelter Names'!$B$3:$E$165,4,FALSE)),"",VLOOKUP(D252,'Standard Smelter Names'!$B$3:$E$165,4,FALSE))</f>
        <v/>
      </c>
      <c r="B252" s="210"/>
      <c r="C252" s="211"/>
      <c r="D252" s="211" t="str">
        <f t="shared" si="6"/>
        <v/>
      </c>
      <c r="E252" s="210" t="str">
        <f t="shared" si="7"/>
        <v/>
      </c>
      <c r="F252" s="210"/>
      <c r="G252" s="210"/>
      <c r="H252" s="210"/>
      <c r="I252" s="210"/>
      <c r="J252" s="210"/>
      <c r="K252" s="210"/>
      <c r="L252" s="210"/>
      <c r="M252" s="210"/>
      <c r="N252" s="210"/>
      <c r="O252" s="196"/>
    </row>
    <row r="253" spans="1:15" s="212" customFormat="1" ht="15.75">
      <c r="A253" s="209" t="str">
        <f ca="1">IF(ISNA(VLOOKUP(D253,'Standard Smelter Names'!$B$3:$E$165,4,FALSE)),"",VLOOKUP(D253,'Standard Smelter Names'!$B$3:$E$165,4,FALSE))</f>
        <v/>
      </c>
      <c r="B253" s="210"/>
      <c r="C253" s="211"/>
      <c r="D253" s="211" t="str">
        <f t="shared" si="6"/>
        <v/>
      </c>
      <c r="E253" s="210" t="str">
        <f t="shared" si="7"/>
        <v/>
      </c>
      <c r="F253" s="210"/>
      <c r="G253" s="210"/>
      <c r="H253" s="210"/>
      <c r="I253" s="210"/>
      <c r="J253" s="210"/>
      <c r="K253" s="210"/>
      <c r="L253" s="210"/>
      <c r="M253" s="210"/>
      <c r="N253" s="210"/>
      <c r="O253" s="196"/>
    </row>
    <row r="254" spans="1:15" s="212" customFormat="1" ht="15.75">
      <c r="A254" s="209" t="str">
        <f ca="1">IF(ISNA(VLOOKUP(D254,'Standard Smelter Names'!$B$3:$E$165,4,FALSE)),"",VLOOKUP(D254,'Standard Smelter Names'!$B$3:$E$165,4,FALSE))</f>
        <v/>
      </c>
      <c r="B254" s="210"/>
      <c r="C254" s="211"/>
      <c r="D254" s="211" t="str">
        <f t="shared" si="6"/>
        <v/>
      </c>
      <c r="E254" s="210" t="str">
        <f t="shared" si="7"/>
        <v/>
      </c>
      <c r="F254" s="210"/>
      <c r="G254" s="210"/>
      <c r="H254" s="210"/>
      <c r="I254" s="210"/>
      <c r="J254" s="210"/>
      <c r="K254" s="210"/>
      <c r="L254" s="210"/>
      <c r="M254" s="210"/>
      <c r="N254" s="210"/>
      <c r="O254" s="196"/>
    </row>
    <row r="255" spans="1:15" s="212" customFormat="1" ht="15.75">
      <c r="A255" s="209" t="str">
        <f ca="1">IF(ISNA(VLOOKUP(D255,'Standard Smelter Names'!$B$3:$E$165,4,FALSE)),"",VLOOKUP(D255,'Standard Smelter Names'!$B$3:$E$165,4,FALSE))</f>
        <v/>
      </c>
      <c r="B255" s="210"/>
      <c r="C255" s="211"/>
      <c r="D255" s="211" t="str">
        <f t="shared" si="6"/>
        <v/>
      </c>
      <c r="E255" s="210" t="str">
        <f t="shared" si="7"/>
        <v/>
      </c>
      <c r="F255" s="210"/>
      <c r="G255" s="210"/>
      <c r="H255" s="210"/>
      <c r="I255" s="210"/>
      <c r="J255" s="210"/>
      <c r="K255" s="210"/>
      <c r="L255" s="210"/>
      <c r="M255" s="210"/>
      <c r="N255" s="210"/>
      <c r="O255" s="196"/>
    </row>
    <row r="256" spans="1:15" s="212" customFormat="1" ht="15.75">
      <c r="A256" s="209" t="str">
        <f ca="1">IF(ISNA(VLOOKUP(D256,'Standard Smelter Names'!$B$3:$E$165,4,FALSE)),"",VLOOKUP(D256,'Standard Smelter Names'!$B$3:$E$165,4,FALSE))</f>
        <v/>
      </c>
      <c r="B256" s="210"/>
      <c r="C256" s="211"/>
      <c r="D256" s="211" t="str">
        <f t="shared" si="6"/>
        <v/>
      </c>
      <c r="E256" s="210" t="str">
        <f t="shared" si="7"/>
        <v/>
      </c>
      <c r="F256" s="210"/>
      <c r="G256" s="210"/>
      <c r="H256" s="210"/>
      <c r="I256" s="210"/>
      <c r="J256" s="210"/>
      <c r="K256" s="210"/>
      <c r="L256" s="210"/>
      <c r="M256" s="210"/>
      <c r="N256" s="210"/>
      <c r="O256" s="196"/>
    </row>
    <row r="257" spans="1:15" s="212" customFormat="1" ht="15.75">
      <c r="A257" s="209" t="str">
        <f ca="1">IF(ISNA(VLOOKUP(D257,'Standard Smelter Names'!$B$3:$E$165,4,FALSE)),"",VLOOKUP(D257,'Standard Smelter Names'!$B$3:$E$165,4,FALSE))</f>
        <v/>
      </c>
      <c r="B257" s="210"/>
      <c r="C257" s="211"/>
      <c r="D257" s="211" t="str">
        <f t="shared" si="6"/>
        <v/>
      </c>
      <c r="E257" s="210" t="str">
        <f t="shared" si="7"/>
        <v/>
      </c>
      <c r="F257" s="210"/>
      <c r="G257" s="210"/>
      <c r="H257" s="210"/>
      <c r="I257" s="210"/>
      <c r="J257" s="210"/>
      <c r="K257" s="210"/>
      <c r="L257" s="210"/>
      <c r="M257" s="210"/>
      <c r="N257" s="210"/>
      <c r="O257" s="196"/>
    </row>
    <row r="258" spans="1:15" s="212" customFormat="1" ht="15.75">
      <c r="A258" s="209" t="str">
        <f ca="1">IF(ISNA(VLOOKUP(D258,'Standard Smelter Names'!$B$3:$E$165,4,FALSE)),"",VLOOKUP(D258,'Standard Smelter Names'!$B$3:$E$165,4,FALSE))</f>
        <v/>
      </c>
      <c r="B258" s="210"/>
      <c r="C258" s="211"/>
      <c r="D258" s="211" t="str">
        <f t="shared" si="6"/>
        <v/>
      </c>
      <c r="E258" s="210" t="str">
        <f t="shared" si="7"/>
        <v/>
      </c>
      <c r="F258" s="210"/>
      <c r="G258" s="210"/>
      <c r="H258" s="210"/>
      <c r="I258" s="210"/>
      <c r="J258" s="210"/>
      <c r="K258" s="210"/>
      <c r="L258" s="210"/>
      <c r="M258" s="210"/>
      <c r="N258" s="210"/>
      <c r="O258" s="196"/>
    </row>
    <row r="259" spans="1:15" s="212" customFormat="1" ht="15.75">
      <c r="A259" s="209" t="str">
        <f ca="1">IF(ISNA(VLOOKUP(D259,'Standard Smelter Names'!$B$3:$E$165,4,FALSE)),"",VLOOKUP(D259,'Standard Smelter Names'!$B$3:$E$165,4,FALSE))</f>
        <v/>
      </c>
      <c r="B259" s="210"/>
      <c r="C259" s="211"/>
      <c r="D259" s="211" t="str">
        <f t="shared" si="6"/>
        <v/>
      </c>
      <c r="E259" s="210" t="str">
        <f t="shared" si="7"/>
        <v/>
      </c>
      <c r="F259" s="210"/>
      <c r="G259" s="210"/>
      <c r="H259" s="210"/>
      <c r="I259" s="210"/>
      <c r="J259" s="210"/>
      <c r="K259" s="210"/>
      <c r="L259" s="210"/>
      <c r="M259" s="210"/>
      <c r="N259" s="210"/>
      <c r="O259" s="196"/>
    </row>
    <row r="260" spans="1:15" s="212" customFormat="1" ht="15.75">
      <c r="A260" s="209" t="str">
        <f ca="1">IF(ISNA(VLOOKUP(D260,'Standard Smelter Names'!$B$3:$E$165,4,FALSE)),"",VLOOKUP(D260,'Standard Smelter Names'!$B$3:$E$165,4,FALSE))</f>
        <v/>
      </c>
      <c r="B260" s="210"/>
      <c r="C260" s="211"/>
      <c r="D260" s="211" t="str">
        <f t="shared" si="6"/>
        <v/>
      </c>
      <c r="E260" s="210" t="str">
        <f t="shared" si="7"/>
        <v/>
      </c>
      <c r="F260" s="210"/>
      <c r="G260" s="210"/>
      <c r="H260" s="210"/>
      <c r="I260" s="210"/>
      <c r="J260" s="210"/>
      <c r="K260" s="210"/>
      <c r="L260" s="210"/>
      <c r="M260" s="210"/>
      <c r="N260" s="210"/>
      <c r="O260" s="196"/>
    </row>
    <row r="261" spans="1:15" s="212" customFormat="1" ht="15.75">
      <c r="A261" s="209" t="str">
        <f ca="1">IF(ISNA(VLOOKUP(D261,'Standard Smelter Names'!$B$3:$E$165,4,FALSE)),"",VLOOKUP(D261,'Standard Smelter Names'!$B$3:$E$165,4,FALSE))</f>
        <v/>
      </c>
      <c r="B261" s="210"/>
      <c r="C261" s="211"/>
      <c r="D261" s="211" t="str">
        <f t="shared" ref="D261:D324" si="8">IF(ISNA(VLOOKUP(C261,$G$1023:$I$1379,3,FALSE)),"",VLOOKUP(C261,$G$1023:$I$1379,3,FALSE))</f>
        <v/>
      </c>
      <c r="E261" s="210" t="str">
        <f t="shared" ref="E261:E324" si="9">IF(ISNA(VLOOKUP(C261,$G$1023:$I$1379,2,FALSE)),"",VLOOKUP(C261,$G$1023:$I$1379,2,FALSE))</f>
        <v/>
      </c>
      <c r="F261" s="210"/>
      <c r="G261" s="210"/>
      <c r="H261" s="210"/>
      <c r="I261" s="210"/>
      <c r="J261" s="210"/>
      <c r="K261" s="210"/>
      <c r="L261" s="210"/>
      <c r="M261" s="210"/>
      <c r="N261" s="210"/>
      <c r="O261" s="196"/>
    </row>
    <row r="262" spans="1:15" s="212" customFormat="1" ht="15.75">
      <c r="A262" s="209" t="str">
        <f ca="1">IF(ISNA(VLOOKUP(D262,'Standard Smelter Names'!$B$3:$E$165,4,FALSE)),"",VLOOKUP(D262,'Standard Smelter Names'!$B$3:$E$165,4,FALSE))</f>
        <v/>
      </c>
      <c r="B262" s="210"/>
      <c r="C262" s="211"/>
      <c r="D262" s="211" t="str">
        <f t="shared" si="8"/>
        <v/>
      </c>
      <c r="E262" s="210" t="str">
        <f t="shared" si="9"/>
        <v/>
      </c>
      <c r="F262" s="210"/>
      <c r="G262" s="210"/>
      <c r="H262" s="210"/>
      <c r="I262" s="210"/>
      <c r="J262" s="210"/>
      <c r="K262" s="210"/>
      <c r="L262" s="210"/>
      <c r="M262" s="210"/>
      <c r="N262" s="210"/>
      <c r="O262" s="196"/>
    </row>
    <row r="263" spans="1:15" s="212" customFormat="1" ht="15.75">
      <c r="A263" s="209" t="str">
        <f ca="1">IF(ISNA(VLOOKUP(D263,'Standard Smelter Names'!$B$3:$E$165,4,FALSE)),"",VLOOKUP(D263,'Standard Smelter Names'!$B$3:$E$165,4,FALSE))</f>
        <v/>
      </c>
      <c r="B263" s="210"/>
      <c r="C263" s="211"/>
      <c r="D263" s="211" t="str">
        <f t="shared" si="8"/>
        <v/>
      </c>
      <c r="E263" s="210" t="str">
        <f t="shared" si="9"/>
        <v/>
      </c>
      <c r="F263" s="210"/>
      <c r="G263" s="210"/>
      <c r="H263" s="210"/>
      <c r="I263" s="210"/>
      <c r="J263" s="210"/>
      <c r="K263" s="210"/>
      <c r="L263" s="210"/>
      <c r="M263" s="210"/>
      <c r="N263" s="210"/>
      <c r="O263" s="196"/>
    </row>
    <row r="264" spans="1:15" s="212" customFormat="1" ht="15.75">
      <c r="A264" s="209" t="str">
        <f ca="1">IF(ISNA(VLOOKUP(D264,'Standard Smelter Names'!$B$3:$E$165,4,FALSE)),"",VLOOKUP(D264,'Standard Smelter Names'!$B$3:$E$165,4,FALSE))</f>
        <v/>
      </c>
      <c r="B264" s="210"/>
      <c r="C264" s="211"/>
      <c r="D264" s="211" t="str">
        <f t="shared" si="8"/>
        <v/>
      </c>
      <c r="E264" s="210" t="str">
        <f t="shared" si="9"/>
        <v/>
      </c>
      <c r="F264" s="210"/>
      <c r="G264" s="210"/>
      <c r="H264" s="210"/>
      <c r="I264" s="210"/>
      <c r="J264" s="210"/>
      <c r="K264" s="210"/>
      <c r="L264" s="210"/>
      <c r="M264" s="210"/>
      <c r="N264" s="210"/>
      <c r="O264" s="196"/>
    </row>
    <row r="265" spans="1:15" s="212" customFormat="1" ht="15.75">
      <c r="A265" s="209" t="str">
        <f ca="1">IF(ISNA(VLOOKUP(D265,'Standard Smelter Names'!$B$3:$E$165,4,FALSE)),"",VLOOKUP(D265,'Standard Smelter Names'!$B$3:$E$165,4,FALSE))</f>
        <v/>
      </c>
      <c r="B265" s="210"/>
      <c r="C265" s="211"/>
      <c r="D265" s="211" t="str">
        <f t="shared" si="8"/>
        <v/>
      </c>
      <c r="E265" s="210" t="str">
        <f t="shared" si="9"/>
        <v/>
      </c>
      <c r="F265" s="210"/>
      <c r="G265" s="210"/>
      <c r="H265" s="210"/>
      <c r="I265" s="210"/>
      <c r="J265" s="210"/>
      <c r="K265" s="210"/>
      <c r="L265" s="210"/>
      <c r="M265" s="210"/>
      <c r="N265" s="210"/>
      <c r="O265" s="196"/>
    </row>
    <row r="266" spans="1:15" s="212" customFormat="1" ht="15.75">
      <c r="A266" s="209" t="str">
        <f ca="1">IF(ISNA(VLOOKUP(D266,'Standard Smelter Names'!$B$3:$E$165,4,FALSE)),"",VLOOKUP(D266,'Standard Smelter Names'!$B$3:$E$165,4,FALSE))</f>
        <v/>
      </c>
      <c r="B266" s="210"/>
      <c r="C266" s="211"/>
      <c r="D266" s="211" t="str">
        <f t="shared" si="8"/>
        <v/>
      </c>
      <c r="E266" s="210" t="str">
        <f t="shared" si="9"/>
        <v/>
      </c>
      <c r="F266" s="210"/>
      <c r="G266" s="210"/>
      <c r="H266" s="210"/>
      <c r="I266" s="210"/>
      <c r="J266" s="210"/>
      <c r="K266" s="210"/>
      <c r="L266" s="210"/>
      <c r="M266" s="210"/>
      <c r="N266" s="210"/>
      <c r="O266" s="196"/>
    </row>
    <row r="267" spans="1:15" s="212" customFormat="1" ht="15.75">
      <c r="A267" s="209" t="str">
        <f ca="1">IF(ISNA(VLOOKUP(D267,'Standard Smelter Names'!$B$3:$E$165,4,FALSE)),"",VLOOKUP(D267,'Standard Smelter Names'!$B$3:$E$165,4,FALSE))</f>
        <v/>
      </c>
      <c r="B267" s="210"/>
      <c r="C267" s="211"/>
      <c r="D267" s="211" t="str">
        <f t="shared" si="8"/>
        <v/>
      </c>
      <c r="E267" s="210" t="str">
        <f t="shared" si="9"/>
        <v/>
      </c>
      <c r="F267" s="210"/>
      <c r="G267" s="210"/>
      <c r="H267" s="210"/>
      <c r="I267" s="210"/>
      <c r="J267" s="210"/>
      <c r="K267" s="210"/>
      <c r="L267" s="210"/>
      <c r="M267" s="210"/>
      <c r="N267" s="210"/>
      <c r="O267" s="196"/>
    </row>
    <row r="268" spans="1:15" s="212" customFormat="1" ht="15.75">
      <c r="A268" s="209" t="str">
        <f ca="1">IF(ISNA(VLOOKUP(D268,'Standard Smelter Names'!$B$3:$E$165,4,FALSE)),"",VLOOKUP(D268,'Standard Smelter Names'!$B$3:$E$165,4,FALSE))</f>
        <v/>
      </c>
      <c r="B268" s="210"/>
      <c r="C268" s="211"/>
      <c r="D268" s="211" t="str">
        <f t="shared" si="8"/>
        <v/>
      </c>
      <c r="E268" s="210" t="str">
        <f t="shared" si="9"/>
        <v/>
      </c>
      <c r="F268" s="210"/>
      <c r="G268" s="210"/>
      <c r="H268" s="210"/>
      <c r="I268" s="210"/>
      <c r="J268" s="210"/>
      <c r="K268" s="210"/>
      <c r="L268" s="210"/>
      <c r="M268" s="210"/>
      <c r="N268" s="210"/>
      <c r="O268" s="196"/>
    </row>
    <row r="269" spans="1:15" s="212" customFormat="1" ht="15.75">
      <c r="A269" s="209" t="str">
        <f ca="1">IF(ISNA(VLOOKUP(D269,'Standard Smelter Names'!$B$3:$E$165,4,FALSE)),"",VLOOKUP(D269,'Standard Smelter Names'!$B$3:$E$165,4,FALSE))</f>
        <v/>
      </c>
      <c r="B269" s="210"/>
      <c r="C269" s="211"/>
      <c r="D269" s="211" t="str">
        <f t="shared" si="8"/>
        <v/>
      </c>
      <c r="E269" s="210" t="str">
        <f t="shared" si="9"/>
        <v/>
      </c>
      <c r="F269" s="210"/>
      <c r="G269" s="210"/>
      <c r="H269" s="210"/>
      <c r="I269" s="210"/>
      <c r="J269" s="210"/>
      <c r="K269" s="210"/>
      <c r="L269" s="210"/>
      <c r="M269" s="210"/>
      <c r="N269" s="210"/>
      <c r="O269" s="196"/>
    </row>
    <row r="270" spans="1:15" s="212" customFormat="1" ht="15.75">
      <c r="A270" s="209" t="str">
        <f ca="1">IF(ISNA(VLOOKUP(D270,'Standard Smelter Names'!$B$3:$E$165,4,FALSE)),"",VLOOKUP(D270,'Standard Smelter Names'!$B$3:$E$165,4,FALSE))</f>
        <v/>
      </c>
      <c r="B270" s="210"/>
      <c r="C270" s="211"/>
      <c r="D270" s="211" t="str">
        <f t="shared" si="8"/>
        <v/>
      </c>
      <c r="E270" s="210" t="str">
        <f t="shared" si="9"/>
        <v/>
      </c>
      <c r="F270" s="210"/>
      <c r="G270" s="210"/>
      <c r="H270" s="210"/>
      <c r="I270" s="210"/>
      <c r="J270" s="210"/>
      <c r="K270" s="210"/>
      <c r="L270" s="210"/>
      <c r="M270" s="210"/>
      <c r="N270" s="210"/>
      <c r="O270" s="196"/>
    </row>
    <row r="271" spans="1:15" s="212" customFormat="1" ht="15.75">
      <c r="A271" s="209" t="str">
        <f ca="1">IF(ISNA(VLOOKUP(D271,'Standard Smelter Names'!$B$3:$E$165,4,FALSE)),"",VLOOKUP(D271,'Standard Smelter Names'!$B$3:$E$165,4,FALSE))</f>
        <v/>
      </c>
      <c r="B271" s="210"/>
      <c r="C271" s="211"/>
      <c r="D271" s="211" t="str">
        <f t="shared" si="8"/>
        <v/>
      </c>
      <c r="E271" s="210" t="str">
        <f t="shared" si="9"/>
        <v/>
      </c>
      <c r="F271" s="210"/>
      <c r="G271" s="210"/>
      <c r="H271" s="210"/>
      <c r="I271" s="210"/>
      <c r="J271" s="210"/>
      <c r="K271" s="210"/>
      <c r="L271" s="210"/>
      <c r="M271" s="210"/>
      <c r="N271" s="210"/>
      <c r="O271" s="196"/>
    </row>
    <row r="272" spans="1:15" s="212" customFormat="1" ht="15.75">
      <c r="A272" s="209" t="str">
        <f ca="1">IF(ISNA(VLOOKUP(D272,'Standard Smelter Names'!$B$3:$E$165,4,FALSE)),"",VLOOKUP(D272,'Standard Smelter Names'!$B$3:$E$165,4,FALSE))</f>
        <v/>
      </c>
      <c r="B272" s="210"/>
      <c r="C272" s="211"/>
      <c r="D272" s="211" t="str">
        <f t="shared" si="8"/>
        <v/>
      </c>
      <c r="E272" s="210" t="str">
        <f t="shared" si="9"/>
        <v/>
      </c>
      <c r="F272" s="210"/>
      <c r="G272" s="210"/>
      <c r="H272" s="210"/>
      <c r="I272" s="210"/>
      <c r="J272" s="210"/>
      <c r="K272" s="210"/>
      <c r="L272" s="210"/>
      <c r="M272" s="210"/>
      <c r="N272" s="210"/>
      <c r="O272" s="196"/>
    </row>
    <row r="273" spans="1:15" s="212" customFormat="1" ht="15.75">
      <c r="A273" s="209" t="str">
        <f ca="1">IF(ISNA(VLOOKUP(D273,'Standard Smelter Names'!$B$3:$E$165,4,FALSE)),"",VLOOKUP(D273,'Standard Smelter Names'!$B$3:$E$165,4,FALSE))</f>
        <v/>
      </c>
      <c r="B273" s="210"/>
      <c r="C273" s="211"/>
      <c r="D273" s="211" t="str">
        <f t="shared" si="8"/>
        <v/>
      </c>
      <c r="E273" s="210" t="str">
        <f t="shared" si="9"/>
        <v/>
      </c>
      <c r="F273" s="210"/>
      <c r="G273" s="210"/>
      <c r="H273" s="210"/>
      <c r="I273" s="210"/>
      <c r="J273" s="210"/>
      <c r="K273" s="210"/>
      <c r="L273" s="210"/>
      <c r="M273" s="210"/>
      <c r="N273" s="210"/>
      <c r="O273" s="196"/>
    </row>
    <row r="274" spans="1:15" s="212" customFormat="1" ht="15.75">
      <c r="A274" s="209" t="str">
        <f ca="1">IF(ISNA(VLOOKUP(D274,'Standard Smelter Names'!$B$3:$E$165,4,FALSE)),"",VLOOKUP(D274,'Standard Smelter Names'!$B$3:$E$165,4,FALSE))</f>
        <v/>
      </c>
      <c r="B274" s="210"/>
      <c r="C274" s="211"/>
      <c r="D274" s="211" t="str">
        <f t="shared" si="8"/>
        <v/>
      </c>
      <c r="E274" s="210" t="str">
        <f t="shared" si="9"/>
        <v/>
      </c>
      <c r="F274" s="210"/>
      <c r="G274" s="210"/>
      <c r="H274" s="210"/>
      <c r="I274" s="210"/>
      <c r="J274" s="210"/>
      <c r="K274" s="210"/>
      <c r="L274" s="210"/>
      <c r="M274" s="210"/>
      <c r="N274" s="210"/>
      <c r="O274" s="196"/>
    </row>
    <row r="275" spans="1:15" s="212" customFormat="1" ht="15.75">
      <c r="A275" s="209" t="str">
        <f ca="1">IF(ISNA(VLOOKUP(D275,'Standard Smelter Names'!$B$3:$E$165,4,FALSE)),"",VLOOKUP(D275,'Standard Smelter Names'!$B$3:$E$165,4,FALSE))</f>
        <v/>
      </c>
      <c r="B275" s="210"/>
      <c r="C275" s="211"/>
      <c r="D275" s="211" t="str">
        <f t="shared" si="8"/>
        <v/>
      </c>
      <c r="E275" s="210" t="str">
        <f t="shared" si="9"/>
        <v/>
      </c>
      <c r="F275" s="210"/>
      <c r="G275" s="210"/>
      <c r="H275" s="210"/>
      <c r="I275" s="210"/>
      <c r="J275" s="210"/>
      <c r="K275" s="210"/>
      <c r="L275" s="210"/>
      <c r="M275" s="210"/>
      <c r="N275" s="210"/>
      <c r="O275" s="196"/>
    </row>
    <row r="276" spans="1:15" s="212" customFormat="1" ht="15.75">
      <c r="A276" s="209" t="str">
        <f ca="1">IF(ISNA(VLOOKUP(D276,'Standard Smelter Names'!$B$3:$E$165,4,FALSE)),"",VLOOKUP(D276,'Standard Smelter Names'!$B$3:$E$165,4,FALSE))</f>
        <v/>
      </c>
      <c r="B276" s="210"/>
      <c r="C276" s="211"/>
      <c r="D276" s="211" t="str">
        <f t="shared" si="8"/>
        <v/>
      </c>
      <c r="E276" s="210" t="str">
        <f t="shared" si="9"/>
        <v/>
      </c>
      <c r="F276" s="210"/>
      <c r="G276" s="210"/>
      <c r="H276" s="210"/>
      <c r="I276" s="210"/>
      <c r="J276" s="210"/>
      <c r="K276" s="210"/>
      <c r="L276" s="210"/>
      <c r="M276" s="210"/>
      <c r="N276" s="210"/>
      <c r="O276" s="196"/>
    </row>
    <row r="277" spans="1:15" s="212" customFormat="1" ht="15.75">
      <c r="A277" s="209" t="str">
        <f ca="1">IF(ISNA(VLOOKUP(D277,'Standard Smelter Names'!$B$3:$E$165,4,FALSE)),"",VLOOKUP(D277,'Standard Smelter Names'!$B$3:$E$165,4,FALSE))</f>
        <v/>
      </c>
      <c r="B277" s="210"/>
      <c r="C277" s="211"/>
      <c r="D277" s="211" t="str">
        <f t="shared" si="8"/>
        <v/>
      </c>
      <c r="E277" s="210" t="str">
        <f t="shared" si="9"/>
        <v/>
      </c>
      <c r="F277" s="210"/>
      <c r="G277" s="210"/>
      <c r="H277" s="210"/>
      <c r="I277" s="210"/>
      <c r="J277" s="210"/>
      <c r="K277" s="210"/>
      <c r="L277" s="210"/>
      <c r="M277" s="210"/>
      <c r="N277" s="210"/>
      <c r="O277" s="196"/>
    </row>
    <row r="278" spans="1:15" s="212" customFormat="1" ht="15.75">
      <c r="A278" s="209" t="str">
        <f ca="1">IF(ISNA(VLOOKUP(D278,'Standard Smelter Names'!$B$3:$E$165,4,FALSE)),"",VLOOKUP(D278,'Standard Smelter Names'!$B$3:$E$165,4,FALSE))</f>
        <v/>
      </c>
      <c r="B278" s="210"/>
      <c r="C278" s="211"/>
      <c r="D278" s="211" t="str">
        <f t="shared" si="8"/>
        <v/>
      </c>
      <c r="E278" s="210" t="str">
        <f t="shared" si="9"/>
        <v/>
      </c>
      <c r="F278" s="210"/>
      <c r="G278" s="210"/>
      <c r="H278" s="210"/>
      <c r="I278" s="210"/>
      <c r="J278" s="210"/>
      <c r="K278" s="210"/>
      <c r="L278" s="210"/>
      <c r="M278" s="210"/>
      <c r="N278" s="210"/>
      <c r="O278" s="196"/>
    </row>
    <row r="279" spans="1:15" s="212" customFormat="1" ht="15.75">
      <c r="A279" s="209" t="str">
        <f ca="1">IF(ISNA(VLOOKUP(D279,'Standard Smelter Names'!$B$3:$E$165,4,FALSE)),"",VLOOKUP(D279,'Standard Smelter Names'!$B$3:$E$165,4,FALSE))</f>
        <v/>
      </c>
      <c r="B279" s="210"/>
      <c r="C279" s="211"/>
      <c r="D279" s="211" t="str">
        <f t="shared" si="8"/>
        <v/>
      </c>
      <c r="E279" s="210" t="str">
        <f t="shared" si="9"/>
        <v/>
      </c>
      <c r="F279" s="210"/>
      <c r="G279" s="210"/>
      <c r="H279" s="210"/>
      <c r="I279" s="210"/>
      <c r="J279" s="210"/>
      <c r="K279" s="210"/>
      <c r="L279" s="210"/>
      <c r="M279" s="210"/>
      <c r="N279" s="210"/>
      <c r="O279" s="196"/>
    </row>
    <row r="280" spans="1:15" s="212" customFormat="1" ht="15.75">
      <c r="A280" s="209" t="str">
        <f ca="1">IF(ISNA(VLOOKUP(D280,'Standard Smelter Names'!$B$3:$E$165,4,FALSE)),"",VLOOKUP(D280,'Standard Smelter Names'!$B$3:$E$165,4,FALSE))</f>
        <v/>
      </c>
      <c r="B280" s="210"/>
      <c r="C280" s="211"/>
      <c r="D280" s="211" t="str">
        <f t="shared" si="8"/>
        <v/>
      </c>
      <c r="E280" s="210" t="str">
        <f t="shared" si="9"/>
        <v/>
      </c>
      <c r="F280" s="210"/>
      <c r="G280" s="210"/>
      <c r="H280" s="210"/>
      <c r="I280" s="210"/>
      <c r="J280" s="210"/>
      <c r="K280" s="210"/>
      <c r="L280" s="210"/>
      <c r="M280" s="210"/>
      <c r="N280" s="210"/>
      <c r="O280" s="196"/>
    </row>
    <row r="281" spans="1:15" s="212" customFormat="1" ht="15.75">
      <c r="A281" s="209" t="str">
        <f ca="1">IF(ISNA(VLOOKUP(D281,'Standard Smelter Names'!$B$3:$E$165,4,FALSE)),"",VLOOKUP(D281,'Standard Smelter Names'!$B$3:$E$165,4,FALSE))</f>
        <v/>
      </c>
      <c r="B281" s="210"/>
      <c r="C281" s="211"/>
      <c r="D281" s="211" t="str">
        <f t="shared" si="8"/>
        <v/>
      </c>
      <c r="E281" s="210" t="str">
        <f t="shared" si="9"/>
        <v/>
      </c>
      <c r="F281" s="210"/>
      <c r="G281" s="210"/>
      <c r="H281" s="210"/>
      <c r="I281" s="210"/>
      <c r="J281" s="210"/>
      <c r="K281" s="210"/>
      <c r="L281" s="210"/>
      <c r="M281" s="210"/>
      <c r="N281" s="210"/>
      <c r="O281" s="196"/>
    </row>
    <row r="282" spans="1:15" s="212" customFormat="1" ht="15.75">
      <c r="A282" s="209" t="str">
        <f ca="1">IF(ISNA(VLOOKUP(D282,'Standard Smelter Names'!$B$3:$E$165,4,FALSE)),"",VLOOKUP(D282,'Standard Smelter Names'!$B$3:$E$165,4,FALSE))</f>
        <v/>
      </c>
      <c r="B282" s="210"/>
      <c r="C282" s="211"/>
      <c r="D282" s="211" t="str">
        <f t="shared" si="8"/>
        <v/>
      </c>
      <c r="E282" s="210" t="str">
        <f t="shared" si="9"/>
        <v/>
      </c>
      <c r="F282" s="210"/>
      <c r="G282" s="210"/>
      <c r="H282" s="210"/>
      <c r="I282" s="210"/>
      <c r="J282" s="210"/>
      <c r="K282" s="210"/>
      <c r="L282" s="210"/>
      <c r="M282" s="210"/>
      <c r="N282" s="210"/>
      <c r="O282" s="196"/>
    </row>
    <row r="283" spans="1:15" s="212" customFormat="1" ht="15.75">
      <c r="A283" s="209" t="str">
        <f ca="1">IF(ISNA(VLOOKUP(D283,'Standard Smelter Names'!$B$3:$E$165,4,FALSE)),"",VLOOKUP(D283,'Standard Smelter Names'!$B$3:$E$165,4,FALSE))</f>
        <v/>
      </c>
      <c r="B283" s="210"/>
      <c r="C283" s="211"/>
      <c r="D283" s="211" t="str">
        <f t="shared" si="8"/>
        <v/>
      </c>
      <c r="E283" s="210" t="str">
        <f t="shared" si="9"/>
        <v/>
      </c>
      <c r="F283" s="210"/>
      <c r="G283" s="210"/>
      <c r="H283" s="210"/>
      <c r="I283" s="210"/>
      <c r="J283" s="210"/>
      <c r="K283" s="210"/>
      <c r="L283" s="210"/>
      <c r="M283" s="210"/>
      <c r="N283" s="210"/>
      <c r="O283" s="196"/>
    </row>
    <row r="284" spans="1:15" s="212" customFormat="1" ht="15.75">
      <c r="A284" s="209" t="str">
        <f ca="1">IF(ISNA(VLOOKUP(D284,'Standard Smelter Names'!$B$3:$E$165,4,FALSE)),"",VLOOKUP(D284,'Standard Smelter Names'!$B$3:$E$165,4,FALSE))</f>
        <v/>
      </c>
      <c r="B284" s="210"/>
      <c r="C284" s="211"/>
      <c r="D284" s="211" t="str">
        <f t="shared" si="8"/>
        <v/>
      </c>
      <c r="E284" s="210" t="str">
        <f t="shared" si="9"/>
        <v/>
      </c>
      <c r="F284" s="210"/>
      <c r="G284" s="210"/>
      <c r="H284" s="210"/>
      <c r="I284" s="210"/>
      <c r="J284" s="210"/>
      <c r="K284" s="210"/>
      <c r="L284" s="210"/>
      <c r="M284" s="210"/>
      <c r="N284" s="210"/>
      <c r="O284" s="196"/>
    </row>
    <row r="285" spans="1:15" s="212" customFormat="1" ht="15.75">
      <c r="A285" s="209" t="str">
        <f ca="1">IF(ISNA(VLOOKUP(D285,'Standard Smelter Names'!$B$3:$E$165,4,FALSE)),"",VLOOKUP(D285,'Standard Smelter Names'!$B$3:$E$165,4,FALSE))</f>
        <v/>
      </c>
      <c r="B285" s="210"/>
      <c r="C285" s="211"/>
      <c r="D285" s="211" t="str">
        <f t="shared" si="8"/>
        <v/>
      </c>
      <c r="E285" s="210" t="str">
        <f t="shared" si="9"/>
        <v/>
      </c>
      <c r="F285" s="210"/>
      <c r="G285" s="210"/>
      <c r="H285" s="210"/>
      <c r="I285" s="210"/>
      <c r="J285" s="210"/>
      <c r="K285" s="210"/>
      <c r="L285" s="210"/>
      <c r="M285" s="210"/>
      <c r="N285" s="210"/>
      <c r="O285" s="196"/>
    </row>
    <row r="286" spans="1:15" s="212" customFormat="1" ht="15.75">
      <c r="A286" s="209" t="str">
        <f ca="1">IF(ISNA(VLOOKUP(D286,'Standard Smelter Names'!$B$3:$E$165,4,FALSE)),"",VLOOKUP(D286,'Standard Smelter Names'!$B$3:$E$165,4,FALSE))</f>
        <v/>
      </c>
      <c r="B286" s="210"/>
      <c r="C286" s="211"/>
      <c r="D286" s="211" t="str">
        <f t="shared" si="8"/>
        <v/>
      </c>
      <c r="E286" s="210" t="str">
        <f t="shared" si="9"/>
        <v/>
      </c>
      <c r="F286" s="210"/>
      <c r="G286" s="210"/>
      <c r="H286" s="210"/>
      <c r="I286" s="210"/>
      <c r="J286" s="210"/>
      <c r="K286" s="210"/>
      <c r="L286" s="210"/>
      <c r="M286" s="210"/>
      <c r="N286" s="210"/>
      <c r="O286" s="196"/>
    </row>
    <row r="287" spans="1:15" s="212" customFormat="1" ht="15.75">
      <c r="A287" s="209" t="str">
        <f ca="1">IF(ISNA(VLOOKUP(D287,'Standard Smelter Names'!$B$3:$E$165,4,FALSE)),"",VLOOKUP(D287,'Standard Smelter Names'!$B$3:$E$165,4,FALSE))</f>
        <v/>
      </c>
      <c r="B287" s="210"/>
      <c r="C287" s="211"/>
      <c r="D287" s="211" t="str">
        <f t="shared" si="8"/>
        <v/>
      </c>
      <c r="E287" s="210" t="str">
        <f t="shared" si="9"/>
        <v/>
      </c>
      <c r="F287" s="210"/>
      <c r="G287" s="210"/>
      <c r="H287" s="210"/>
      <c r="I287" s="210"/>
      <c r="J287" s="210"/>
      <c r="K287" s="210"/>
      <c r="L287" s="210"/>
      <c r="M287" s="210"/>
      <c r="N287" s="210"/>
      <c r="O287" s="196"/>
    </row>
    <row r="288" spans="1:15" s="212" customFormat="1" ht="15.75">
      <c r="A288" s="209" t="str">
        <f ca="1">IF(ISNA(VLOOKUP(D288,'Standard Smelter Names'!$B$3:$E$165,4,FALSE)),"",VLOOKUP(D288,'Standard Smelter Names'!$B$3:$E$165,4,FALSE))</f>
        <v/>
      </c>
      <c r="B288" s="210"/>
      <c r="C288" s="211"/>
      <c r="D288" s="211" t="str">
        <f t="shared" si="8"/>
        <v/>
      </c>
      <c r="E288" s="210" t="str">
        <f t="shared" si="9"/>
        <v/>
      </c>
      <c r="F288" s="210"/>
      <c r="G288" s="210"/>
      <c r="H288" s="210"/>
      <c r="I288" s="210"/>
      <c r="J288" s="210"/>
      <c r="K288" s="210"/>
      <c r="L288" s="210"/>
      <c r="M288" s="210"/>
      <c r="N288" s="210"/>
      <c r="O288" s="196"/>
    </row>
    <row r="289" spans="1:15" s="212" customFormat="1" ht="15.75">
      <c r="A289" s="209" t="str">
        <f ca="1">IF(ISNA(VLOOKUP(D289,'Standard Smelter Names'!$B$3:$E$165,4,FALSE)),"",VLOOKUP(D289,'Standard Smelter Names'!$B$3:$E$165,4,FALSE))</f>
        <v/>
      </c>
      <c r="B289" s="210"/>
      <c r="C289" s="211"/>
      <c r="D289" s="211" t="str">
        <f t="shared" si="8"/>
        <v/>
      </c>
      <c r="E289" s="210" t="str">
        <f t="shared" si="9"/>
        <v/>
      </c>
      <c r="F289" s="210"/>
      <c r="G289" s="210"/>
      <c r="H289" s="210"/>
      <c r="I289" s="210"/>
      <c r="J289" s="210"/>
      <c r="K289" s="210"/>
      <c r="L289" s="210"/>
      <c r="M289" s="210"/>
      <c r="N289" s="210"/>
      <c r="O289" s="196"/>
    </row>
    <row r="290" spans="1:15" s="212" customFormat="1" ht="15.75">
      <c r="A290" s="209" t="str">
        <f ca="1">IF(ISNA(VLOOKUP(D290,'Standard Smelter Names'!$B$3:$E$165,4,FALSE)),"",VLOOKUP(D290,'Standard Smelter Names'!$B$3:$E$165,4,FALSE))</f>
        <v/>
      </c>
      <c r="B290" s="210"/>
      <c r="C290" s="211"/>
      <c r="D290" s="211" t="str">
        <f t="shared" si="8"/>
        <v/>
      </c>
      <c r="E290" s="210" t="str">
        <f t="shared" si="9"/>
        <v/>
      </c>
      <c r="F290" s="210"/>
      <c r="G290" s="210"/>
      <c r="H290" s="210"/>
      <c r="I290" s="210"/>
      <c r="J290" s="210"/>
      <c r="K290" s="210"/>
      <c r="L290" s="210"/>
      <c r="M290" s="210"/>
      <c r="N290" s="210"/>
      <c r="O290" s="196"/>
    </row>
    <row r="291" spans="1:15" s="212" customFormat="1" ht="15.75">
      <c r="A291" s="209" t="str">
        <f ca="1">IF(ISNA(VLOOKUP(D291,'Standard Smelter Names'!$B$3:$E$165,4,FALSE)),"",VLOOKUP(D291,'Standard Smelter Names'!$B$3:$E$165,4,FALSE))</f>
        <v/>
      </c>
      <c r="B291" s="210"/>
      <c r="C291" s="211"/>
      <c r="D291" s="211" t="str">
        <f t="shared" si="8"/>
        <v/>
      </c>
      <c r="E291" s="210" t="str">
        <f t="shared" si="9"/>
        <v/>
      </c>
      <c r="F291" s="210"/>
      <c r="G291" s="210"/>
      <c r="H291" s="210"/>
      <c r="I291" s="210"/>
      <c r="J291" s="210"/>
      <c r="K291" s="210"/>
      <c r="L291" s="210"/>
      <c r="M291" s="210"/>
      <c r="N291" s="210"/>
      <c r="O291" s="196"/>
    </row>
    <row r="292" spans="1:15" s="212" customFormat="1" ht="15.75">
      <c r="A292" s="209" t="str">
        <f ca="1">IF(ISNA(VLOOKUP(D292,'Standard Smelter Names'!$B$3:$E$165,4,FALSE)),"",VLOOKUP(D292,'Standard Smelter Names'!$B$3:$E$165,4,FALSE))</f>
        <v/>
      </c>
      <c r="B292" s="210"/>
      <c r="C292" s="211"/>
      <c r="D292" s="211" t="str">
        <f t="shared" si="8"/>
        <v/>
      </c>
      <c r="E292" s="210" t="str">
        <f t="shared" si="9"/>
        <v/>
      </c>
      <c r="F292" s="210"/>
      <c r="G292" s="210"/>
      <c r="H292" s="210"/>
      <c r="I292" s="210"/>
      <c r="J292" s="210"/>
      <c r="K292" s="210"/>
      <c r="L292" s="210"/>
      <c r="M292" s="210"/>
      <c r="N292" s="210"/>
      <c r="O292" s="196"/>
    </row>
    <row r="293" spans="1:15" s="212" customFormat="1" ht="15.75">
      <c r="A293" s="209" t="str">
        <f ca="1">IF(ISNA(VLOOKUP(D293,'Standard Smelter Names'!$B$3:$E$165,4,FALSE)),"",VLOOKUP(D293,'Standard Smelter Names'!$B$3:$E$165,4,FALSE))</f>
        <v/>
      </c>
      <c r="B293" s="210"/>
      <c r="C293" s="211"/>
      <c r="D293" s="211" t="str">
        <f t="shared" si="8"/>
        <v/>
      </c>
      <c r="E293" s="210" t="str">
        <f t="shared" si="9"/>
        <v/>
      </c>
      <c r="F293" s="210"/>
      <c r="G293" s="210"/>
      <c r="H293" s="210"/>
      <c r="I293" s="210"/>
      <c r="J293" s="210"/>
      <c r="K293" s="210"/>
      <c r="L293" s="210"/>
      <c r="M293" s="210"/>
      <c r="N293" s="210"/>
      <c r="O293" s="196"/>
    </row>
    <row r="294" spans="1:15" s="212" customFormat="1" ht="15.75">
      <c r="A294" s="209" t="str">
        <f ca="1">IF(ISNA(VLOOKUP(D294,'Standard Smelter Names'!$B$3:$E$165,4,FALSE)),"",VLOOKUP(D294,'Standard Smelter Names'!$B$3:$E$165,4,FALSE))</f>
        <v/>
      </c>
      <c r="B294" s="210"/>
      <c r="C294" s="211"/>
      <c r="D294" s="211" t="str">
        <f t="shared" si="8"/>
        <v/>
      </c>
      <c r="E294" s="210" t="str">
        <f t="shared" si="9"/>
        <v/>
      </c>
      <c r="F294" s="210"/>
      <c r="G294" s="210"/>
      <c r="H294" s="210"/>
      <c r="I294" s="210"/>
      <c r="J294" s="210"/>
      <c r="K294" s="210"/>
      <c r="L294" s="210"/>
      <c r="M294" s="210"/>
      <c r="N294" s="210"/>
      <c r="O294" s="196"/>
    </row>
    <row r="295" spans="1:15" s="212" customFormat="1" ht="15.75">
      <c r="A295" s="209" t="str">
        <f ca="1">IF(ISNA(VLOOKUP(D295,'Standard Smelter Names'!$B$3:$E$165,4,FALSE)),"",VLOOKUP(D295,'Standard Smelter Names'!$B$3:$E$165,4,FALSE))</f>
        <v/>
      </c>
      <c r="B295" s="210"/>
      <c r="C295" s="211"/>
      <c r="D295" s="211" t="str">
        <f t="shared" si="8"/>
        <v/>
      </c>
      <c r="E295" s="210" t="str">
        <f t="shared" si="9"/>
        <v/>
      </c>
      <c r="F295" s="210"/>
      <c r="G295" s="210"/>
      <c r="H295" s="210"/>
      <c r="I295" s="210"/>
      <c r="J295" s="210"/>
      <c r="K295" s="210"/>
      <c r="L295" s="210"/>
      <c r="M295" s="210"/>
      <c r="N295" s="210"/>
      <c r="O295" s="196"/>
    </row>
    <row r="296" spans="1:15" s="212" customFormat="1" ht="15.75">
      <c r="A296" s="209" t="str">
        <f ca="1">IF(ISNA(VLOOKUP(D296,'Standard Smelter Names'!$B$3:$E$165,4,FALSE)),"",VLOOKUP(D296,'Standard Smelter Names'!$B$3:$E$165,4,FALSE))</f>
        <v/>
      </c>
      <c r="B296" s="210"/>
      <c r="C296" s="211"/>
      <c r="D296" s="211" t="str">
        <f t="shared" si="8"/>
        <v/>
      </c>
      <c r="E296" s="210" t="str">
        <f t="shared" si="9"/>
        <v/>
      </c>
      <c r="F296" s="210"/>
      <c r="G296" s="210"/>
      <c r="H296" s="210"/>
      <c r="I296" s="210"/>
      <c r="J296" s="210"/>
      <c r="K296" s="210"/>
      <c r="L296" s="210"/>
      <c r="M296" s="210"/>
      <c r="N296" s="210"/>
      <c r="O296" s="196"/>
    </row>
    <row r="297" spans="1:15" s="212" customFormat="1" ht="15.75">
      <c r="A297" s="209" t="str">
        <f ca="1">IF(ISNA(VLOOKUP(D297,'Standard Smelter Names'!$B$3:$E$165,4,FALSE)),"",VLOOKUP(D297,'Standard Smelter Names'!$B$3:$E$165,4,FALSE))</f>
        <v/>
      </c>
      <c r="B297" s="210"/>
      <c r="C297" s="211"/>
      <c r="D297" s="211" t="str">
        <f t="shared" si="8"/>
        <v/>
      </c>
      <c r="E297" s="210" t="str">
        <f t="shared" si="9"/>
        <v/>
      </c>
      <c r="F297" s="210"/>
      <c r="G297" s="210"/>
      <c r="H297" s="210"/>
      <c r="I297" s="210"/>
      <c r="J297" s="210"/>
      <c r="K297" s="210"/>
      <c r="L297" s="210"/>
      <c r="M297" s="210"/>
      <c r="N297" s="210"/>
      <c r="O297" s="196"/>
    </row>
    <row r="298" spans="1:15" s="212" customFormat="1" ht="15.75">
      <c r="A298" s="209" t="str">
        <f ca="1">IF(ISNA(VLOOKUP(D298,'Standard Smelter Names'!$B$3:$E$165,4,FALSE)),"",VLOOKUP(D298,'Standard Smelter Names'!$B$3:$E$165,4,FALSE))</f>
        <v/>
      </c>
      <c r="B298" s="210"/>
      <c r="C298" s="211"/>
      <c r="D298" s="211" t="str">
        <f t="shared" si="8"/>
        <v/>
      </c>
      <c r="E298" s="210" t="str">
        <f t="shared" si="9"/>
        <v/>
      </c>
      <c r="F298" s="210"/>
      <c r="G298" s="210"/>
      <c r="H298" s="210"/>
      <c r="I298" s="210"/>
      <c r="J298" s="210"/>
      <c r="K298" s="210"/>
      <c r="L298" s="210"/>
      <c r="M298" s="210"/>
      <c r="N298" s="210"/>
      <c r="O298" s="196"/>
    </row>
    <row r="299" spans="1:15" s="212" customFormat="1" ht="15.75">
      <c r="A299" s="209" t="str">
        <f ca="1">IF(ISNA(VLOOKUP(D299,'Standard Smelter Names'!$B$3:$E$165,4,FALSE)),"",VLOOKUP(D299,'Standard Smelter Names'!$B$3:$E$165,4,FALSE))</f>
        <v/>
      </c>
      <c r="B299" s="210"/>
      <c r="C299" s="211"/>
      <c r="D299" s="211" t="str">
        <f t="shared" si="8"/>
        <v/>
      </c>
      <c r="E299" s="210" t="str">
        <f t="shared" si="9"/>
        <v/>
      </c>
      <c r="F299" s="210"/>
      <c r="G299" s="210"/>
      <c r="H299" s="210"/>
      <c r="I299" s="210"/>
      <c r="J299" s="210"/>
      <c r="K299" s="210"/>
      <c r="L299" s="210"/>
      <c r="M299" s="210"/>
      <c r="N299" s="210"/>
      <c r="O299" s="196"/>
    </row>
    <row r="300" spans="1:15" s="212" customFormat="1" ht="15.75">
      <c r="A300" s="209" t="str">
        <f ca="1">IF(ISNA(VLOOKUP(D300,'Standard Smelter Names'!$B$3:$E$165,4,FALSE)),"",VLOOKUP(D300,'Standard Smelter Names'!$B$3:$E$165,4,FALSE))</f>
        <v/>
      </c>
      <c r="B300" s="210"/>
      <c r="C300" s="211"/>
      <c r="D300" s="211" t="str">
        <f t="shared" si="8"/>
        <v/>
      </c>
      <c r="E300" s="210" t="str">
        <f t="shared" si="9"/>
        <v/>
      </c>
      <c r="F300" s="210"/>
      <c r="G300" s="210"/>
      <c r="H300" s="210"/>
      <c r="I300" s="210"/>
      <c r="J300" s="210"/>
      <c r="K300" s="210"/>
      <c r="L300" s="210"/>
      <c r="M300" s="210"/>
      <c r="N300" s="210"/>
      <c r="O300" s="196"/>
    </row>
    <row r="301" spans="1:15" s="212" customFormat="1" ht="15.75">
      <c r="A301" s="209" t="str">
        <f ca="1">IF(ISNA(VLOOKUP(D301,'Standard Smelter Names'!$B$3:$E$165,4,FALSE)),"",VLOOKUP(D301,'Standard Smelter Names'!$B$3:$E$165,4,FALSE))</f>
        <v/>
      </c>
      <c r="B301" s="210"/>
      <c r="C301" s="211"/>
      <c r="D301" s="211" t="str">
        <f t="shared" si="8"/>
        <v/>
      </c>
      <c r="E301" s="210" t="str">
        <f t="shared" si="9"/>
        <v/>
      </c>
      <c r="F301" s="210"/>
      <c r="G301" s="210"/>
      <c r="H301" s="210"/>
      <c r="I301" s="210"/>
      <c r="J301" s="210"/>
      <c r="K301" s="210"/>
      <c r="L301" s="210"/>
      <c r="M301" s="210"/>
      <c r="N301" s="210"/>
      <c r="O301" s="196"/>
    </row>
    <row r="302" spans="1:15" s="212" customFormat="1" ht="15.75">
      <c r="A302" s="209" t="str">
        <f ca="1">IF(ISNA(VLOOKUP(D302,'Standard Smelter Names'!$B$3:$E$165,4,FALSE)),"",VLOOKUP(D302,'Standard Smelter Names'!$B$3:$E$165,4,FALSE))</f>
        <v/>
      </c>
      <c r="B302" s="210"/>
      <c r="C302" s="211"/>
      <c r="D302" s="211" t="str">
        <f t="shared" si="8"/>
        <v/>
      </c>
      <c r="E302" s="210" t="str">
        <f t="shared" si="9"/>
        <v/>
      </c>
      <c r="F302" s="210"/>
      <c r="G302" s="210"/>
      <c r="H302" s="210"/>
      <c r="I302" s="210"/>
      <c r="J302" s="210"/>
      <c r="K302" s="210"/>
      <c r="L302" s="210"/>
      <c r="M302" s="210"/>
      <c r="N302" s="210"/>
      <c r="O302" s="196"/>
    </row>
    <row r="303" spans="1:15" s="212" customFormat="1" ht="15.75">
      <c r="A303" s="209" t="str">
        <f ca="1">IF(ISNA(VLOOKUP(D303,'Standard Smelter Names'!$B$3:$E$165,4,FALSE)),"",VLOOKUP(D303,'Standard Smelter Names'!$B$3:$E$165,4,FALSE))</f>
        <v/>
      </c>
      <c r="B303" s="210"/>
      <c r="C303" s="211"/>
      <c r="D303" s="211" t="str">
        <f t="shared" si="8"/>
        <v/>
      </c>
      <c r="E303" s="210" t="str">
        <f t="shared" si="9"/>
        <v/>
      </c>
      <c r="F303" s="210"/>
      <c r="G303" s="210"/>
      <c r="H303" s="210"/>
      <c r="I303" s="210"/>
      <c r="J303" s="210"/>
      <c r="K303" s="210"/>
      <c r="L303" s="210"/>
      <c r="M303" s="210"/>
      <c r="N303" s="210"/>
      <c r="O303" s="196"/>
    </row>
    <row r="304" spans="1:15" s="212" customFormat="1" ht="15.75">
      <c r="A304" s="209" t="str">
        <f ca="1">IF(ISNA(VLOOKUP(D304,'Standard Smelter Names'!$B$3:$E$165,4,FALSE)),"",VLOOKUP(D304,'Standard Smelter Names'!$B$3:$E$165,4,FALSE))</f>
        <v/>
      </c>
      <c r="B304" s="210"/>
      <c r="C304" s="211"/>
      <c r="D304" s="211" t="str">
        <f t="shared" si="8"/>
        <v/>
      </c>
      <c r="E304" s="210" t="str">
        <f t="shared" si="9"/>
        <v/>
      </c>
      <c r="F304" s="210"/>
      <c r="G304" s="210"/>
      <c r="H304" s="210"/>
      <c r="I304" s="210"/>
      <c r="J304" s="210"/>
      <c r="K304" s="210"/>
      <c r="L304" s="210"/>
      <c r="M304" s="210"/>
      <c r="N304" s="210"/>
      <c r="O304" s="196"/>
    </row>
    <row r="305" spans="1:15" s="212" customFormat="1" ht="15.75">
      <c r="A305" s="209" t="str">
        <f ca="1">IF(ISNA(VLOOKUP(D305,'Standard Smelter Names'!$B$3:$E$165,4,FALSE)),"",VLOOKUP(D305,'Standard Smelter Names'!$B$3:$E$165,4,FALSE))</f>
        <v/>
      </c>
      <c r="B305" s="210"/>
      <c r="C305" s="211"/>
      <c r="D305" s="211" t="str">
        <f t="shared" si="8"/>
        <v/>
      </c>
      <c r="E305" s="210" t="str">
        <f t="shared" si="9"/>
        <v/>
      </c>
      <c r="F305" s="210"/>
      <c r="G305" s="210"/>
      <c r="H305" s="210"/>
      <c r="I305" s="210"/>
      <c r="J305" s="210"/>
      <c r="K305" s="210"/>
      <c r="L305" s="210"/>
      <c r="M305" s="210"/>
      <c r="N305" s="210"/>
      <c r="O305" s="196"/>
    </row>
    <row r="306" spans="1:15" s="212" customFormat="1" ht="15.75">
      <c r="A306" s="209" t="str">
        <f ca="1">IF(ISNA(VLOOKUP(D306,'Standard Smelter Names'!$B$3:$E$165,4,FALSE)),"",VLOOKUP(D306,'Standard Smelter Names'!$B$3:$E$165,4,FALSE))</f>
        <v/>
      </c>
      <c r="B306" s="210"/>
      <c r="C306" s="211"/>
      <c r="D306" s="211" t="str">
        <f t="shared" si="8"/>
        <v/>
      </c>
      <c r="E306" s="210" t="str">
        <f t="shared" si="9"/>
        <v/>
      </c>
      <c r="F306" s="210"/>
      <c r="G306" s="210"/>
      <c r="H306" s="210"/>
      <c r="I306" s="210"/>
      <c r="J306" s="210"/>
      <c r="K306" s="210"/>
      <c r="L306" s="210"/>
      <c r="M306" s="210"/>
      <c r="N306" s="210"/>
      <c r="O306" s="196"/>
    </row>
    <row r="307" spans="1:15" s="212" customFormat="1" ht="15.75">
      <c r="A307" s="209" t="str">
        <f ca="1">IF(ISNA(VLOOKUP(D307,'Standard Smelter Names'!$B$3:$E$165,4,FALSE)),"",VLOOKUP(D307,'Standard Smelter Names'!$B$3:$E$165,4,FALSE))</f>
        <v/>
      </c>
      <c r="B307" s="210"/>
      <c r="C307" s="211"/>
      <c r="D307" s="211" t="str">
        <f t="shared" si="8"/>
        <v/>
      </c>
      <c r="E307" s="210" t="str">
        <f t="shared" si="9"/>
        <v/>
      </c>
      <c r="F307" s="210"/>
      <c r="G307" s="210"/>
      <c r="H307" s="210"/>
      <c r="I307" s="210"/>
      <c r="J307" s="210"/>
      <c r="K307" s="210"/>
      <c r="L307" s="210"/>
      <c r="M307" s="210"/>
      <c r="N307" s="210"/>
      <c r="O307" s="196"/>
    </row>
    <row r="308" spans="1:15" s="212" customFormat="1" ht="15.75">
      <c r="A308" s="209" t="str">
        <f ca="1">IF(ISNA(VLOOKUP(D308,'Standard Smelter Names'!$B$3:$E$165,4,FALSE)),"",VLOOKUP(D308,'Standard Smelter Names'!$B$3:$E$165,4,FALSE))</f>
        <v/>
      </c>
      <c r="B308" s="210"/>
      <c r="C308" s="211"/>
      <c r="D308" s="211" t="str">
        <f t="shared" si="8"/>
        <v/>
      </c>
      <c r="E308" s="210" t="str">
        <f t="shared" si="9"/>
        <v/>
      </c>
      <c r="F308" s="210"/>
      <c r="G308" s="210"/>
      <c r="H308" s="210"/>
      <c r="I308" s="210"/>
      <c r="J308" s="210"/>
      <c r="K308" s="210"/>
      <c r="L308" s="210"/>
      <c r="M308" s="210"/>
      <c r="N308" s="210"/>
      <c r="O308" s="196"/>
    </row>
    <row r="309" spans="1:15" s="212" customFormat="1" ht="15.75">
      <c r="A309" s="209" t="str">
        <f ca="1">IF(ISNA(VLOOKUP(D309,'Standard Smelter Names'!$B$3:$E$165,4,FALSE)),"",VLOOKUP(D309,'Standard Smelter Names'!$B$3:$E$165,4,FALSE))</f>
        <v/>
      </c>
      <c r="B309" s="210"/>
      <c r="C309" s="211"/>
      <c r="D309" s="211" t="str">
        <f t="shared" si="8"/>
        <v/>
      </c>
      <c r="E309" s="210" t="str">
        <f t="shared" si="9"/>
        <v/>
      </c>
      <c r="F309" s="210"/>
      <c r="G309" s="210"/>
      <c r="H309" s="210"/>
      <c r="I309" s="210"/>
      <c r="J309" s="210"/>
      <c r="K309" s="210"/>
      <c r="L309" s="210"/>
      <c r="M309" s="210"/>
      <c r="N309" s="210"/>
      <c r="O309" s="196"/>
    </row>
    <row r="310" spans="1:15" s="212" customFormat="1" ht="15.75">
      <c r="A310" s="209" t="str">
        <f ca="1">IF(ISNA(VLOOKUP(D310,'Standard Smelter Names'!$B$3:$E$165,4,FALSE)),"",VLOOKUP(D310,'Standard Smelter Names'!$B$3:$E$165,4,FALSE))</f>
        <v/>
      </c>
      <c r="B310" s="210"/>
      <c r="C310" s="211"/>
      <c r="D310" s="211" t="str">
        <f t="shared" si="8"/>
        <v/>
      </c>
      <c r="E310" s="210" t="str">
        <f t="shared" si="9"/>
        <v/>
      </c>
      <c r="F310" s="210"/>
      <c r="G310" s="210"/>
      <c r="H310" s="210"/>
      <c r="I310" s="210"/>
      <c r="J310" s="210"/>
      <c r="K310" s="210"/>
      <c r="L310" s="210"/>
      <c r="M310" s="210"/>
      <c r="N310" s="210"/>
      <c r="O310" s="196"/>
    </row>
    <row r="311" spans="1:15" s="212" customFormat="1" ht="15.75">
      <c r="A311" s="209" t="str">
        <f ca="1">IF(ISNA(VLOOKUP(D311,'Standard Smelter Names'!$B$3:$E$165,4,FALSE)),"",VLOOKUP(D311,'Standard Smelter Names'!$B$3:$E$165,4,FALSE))</f>
        <v/>
      </c>
      <c r="B311" s="210"/>
      <c r="C311" s="211"/>
      <c r="D311" s="211" t="str">
        <f t="shared" si="8"/>
        <v/>
      </c>
      <c r="E311" s="210" t="str">
        <f t="shared" si="9"/>
        <v/>
      </c>
      <c r="F311" s="210"/>
      <c r="G311" s="210"/>
      <c r="H311" s="210"/>
      <c r="I311" s="210"/>
      <c r="J311" s="210"/>
      <c r="K311" s="210"/>
      <c r="L311" s="210"/>
      <c r="M311" s="210"/>
      <c r="N311" s="210"/>
      <c r="O311" s="196"/>
    </row>
    <row r="312" spans="1:15" s="212" customFormat="1" ht="15.75">
      <c r="A312" s="209" t="str">
        <f ca="1">IF(ISNA(VLOOKUP(D312,'Standard Smelter Names'!$B$3:$E$165,4,FALSE)),"",VLOOKUP(D312,'Standard Smelter Names'!$B$3:$E$165,4,FALSE))</f>
        <v/>
      </c>
      <c r="B312" s="210"/>
      <c r="C312" s="211"/>
      <c r="D312" s="211" t="str">
        <f t="shared" si="8"/>
        <v/>
      </c>
      <c r="E312" s="210" t="str">
        <f t="shared" si="9"/>
        <v/>
      </c>
      <c r="F312" s="210"/>
      <c r="G312" s="210"/>
      <c r="H312" s="210"/>
      <c r="I312" s="210"/>
      <c r="J312" s="210"/>
      <c r="K312" s="210"/>
      <c r="L312" s="210"/>
      <c r="M312" s="210"/>
      <c r="N312" s="210"/>
      <c r="O312" s="196"/>
    </row>
    <row r="313" spans="1:15" s="212" customFormat="1" ht="15.75">
      <c r="A313" s="209" t="str">
        <f ca="1">IF(ISNA(VLOOKUP(D313,'Standard Smelter Names'!$B$3:$E$165,4,FALSE)),"",VLOOKUP(D313,'Standard Smelter Names'!$B$3:$E$165,4,FALSE))</f>
        <v/>
      </c>
      <c r="B313" s="210"/>
      <c r="C313" s="211"/>
      <c r="D313" s="211" t="str">
        <f t="shared" si="8"/>
        <v/>
      </c>
      <c r="E313" s="210" t="str">
        <f t="shared" si="9"/>
        <v/>
      </c>
      <c r="F313" s="210"/>
      <c r="G313" s="210"/>
      <c r="H313" s="210"/>
      <c r="I313" s="210"/>
      <c r="J313" s="210"/>
      <c r="K313" s="210"/>
      <c r="L313" s="210"/>
      <c r="M313" s="210"/>
      <c r="N313" s="210"/>
      <c r="O313" s="196"/>
    </row>
    <row r="314" spans="1:15" s="212" customFormat="1" ht="15.75">
      <c r="A314" s="209" t="str">
        <f ca="1">IF(ISNA(VLOOKUP(D314,'Standard Smelter Names'!$B$3:$E$165,4,FALSE)),"",VLOOKUP(D314,'Standard Smelter Names'!$B$3:$E$165,4,FALSE))</f>
        <v/>
      </c>
      <c r="B314" s="210"/>
      <c r="C314" s="211"/>
      <c r="D314" s="211" t="str">
        <f t="shared" si="8"/>
        <v/>
      </c>
      <c r="E314" s="210" t="str">
        <f t="shared" si="9"/>
        <v/>
      </c>
      <c r="F314" s="210"/>
      <c r="G314" s="210"/>
      <c r="H314" s="210"/>
      <c r="I314" s="210"/>
      <c r="J314" s="210"/>
      <c r="K314" s="210"/>
      <c r="L314" s="210"/>
      <c r="M314" s="210"/>
      <c r="N314" s="210"/>
      <c r="O314" s="196"/>
    </row>
    <row r="315" spans="1:15" s="212" customFormat="1" ht="15.75">
      <c r="A315" s="209" t="str">
        <f ca="1">IF(ISNA(VLOOKUP(D315,'Standard Smelter Names'!$B$3:$E$165,4,FALSE)),"",VLOOKUP(D315,'Standard Smelter Names'!$B$3:$E$165,4,FALSE))</f>
        <v/>
      </c>
      <c r="B315" s="210"/>
      <c r="C315" s="211"/>
      <c r="D315" s="211" t="str">
        <f t="shared" si="8"/>
        <v/>
      </c>
      <c r="E315" s="210" t="str">
        <f t="shared" si="9"/>
        <v/>
      </c>
      <c r="F315" s="210"/>
      <c r="G315" s="210"/>
      <c r="H315" s="210"/>
      <c r="I315" s="210"/>
      <c r="J315" s="210"/>
      <c r="K315" s="210"/>
      <c r="L315" s="210"/>
      <c r="M315" s="210"/>
      <c r="N315" s="210"/>
      <c r="O315" s="196"/>
    </row>
    <row r="316" spans="1:15" s="212" customFormat="1" ht="15.75">
      <c r="A316" s="209" t="str">
        <f ca="1">IF(ISNA(VLOOKUP(D316,'Standard Smelter Names'!$B$3:$E$165,4,FALSE)),"",VLOOKUP(D316,'Standard Smelter Names'!$B$3:$E$165,4,FALSE))</f>
        <v/>
      </c>
      <c r="B316" s="210"/>
      <c r="C316" s="211"/>
      <c r="D316" s="211" t="str">
        <f t="shared" si="8"/>
        <v/>
      </c>
      <c r="E316" s="210" t="str">
        <f t="shared" si="9"/>
        <v/>
      </c>
      <c r="F316" s="210"/>
      <c r="G316" s="210"/>
      <c r="H316" s="210"/>
      <c r="I316" s="210"/>
      <c r="J316" s="210"/>
      <c r="K316" s="210"/>
      <c r="L316" s="210"/>
      <c r="M316" s="210"/>
      <c r="N316" s="210"/>
      <c r="O316" s="196"/>
    </row>
    <row r="317" spans="1:15" s="212" customFormat="1" ht="15.75">
      <c r="A317" s="209" t="str">
        <f ca="1">IF(ISNA(VLOOKUP(D317,'Standard Smelter Names'!$B$3:$E$165,4,FALSE)),"",VLOOKUP(D317,'Standard Smelter Names'!$B$3:$E$165,4,FALSE))</f>
        <v/>
      </c>
      <c r="B317" s="210"/>
      <c r="C317" s="211"/>
      <c r="D317" s="211" t="str">
        <f t="shared" si="8"/>
        <v/>
      </c>
      <c r="E317" s="210" t="str">
        <f t="shared" si="9"/>
        <v/>
      </c>
      <c r="F317" s="210"/>
      <c r="G317" s="210"/>
      <c r="H317" s="210"/>
      <c r="I317" s="210"/>
      <c r="J317" s="210"/>
      <c r="K317" s="210"/>
      <c r="L317" s="210"/>
      <c r="M317" s="210"/>
      <c r="N317" s="210"/>
      <c r="O317" s="196"/>
    </row>
    <row r="318" spans="1:15" s="212" customFormat="1" ht="15.75">
      <c r="A318" s="209" t="str">
        <f ca="1">IF(ISNA(VLOOKUP(D318,'Standard Smelter Names'!$B$3:$E$165,4,FALSE)),"",VLOOKUP(D318,'Standard Smelter Names'!$B$3:$E$165,4,FALSE))</f>
        <v/>
      </c>
      <c r="B318" s="210"/>
      <c r="C318" s="211"/>
      <c r="D318" s="211" t="str">
        <f t="shared" si="8"/>
        <v/>
      </c>
      <c r="E318" s="210" t="str">
        <f t="shared" si="9"/>
        <v/>
      </c>
      <c r="F318" s="210"/>
      <c r="G318" s="210"/>
      <c r="H318" s="210"/>
      <c r="I318" s="210"/>
      <c r="J318" s="210"/>
      <c r="K318" s="210"/>
      <c r="L318" s="210"/>
      <c r="M318" s="210"/>
      <c r="N318" s="210"/>
      <c r="O318" s="196"/>
    </row>
    <row r="319" spans="1:15" s="212" customFormat="1" ht="15.75">
      <c r="A319" s="209" t="str">
        <f ca="1">IF(ISNA(VLOOKUP(D319,'Standard Smelter Names'!$B$3:$E$165,4,FALSE)),"",VLOOKUP(D319,'Standard Smelter Names'!$B$3:$E$165,4,FALSE))</f>
        <v/>
      </c>
      <c r="B319" s="210"/>
      <c r="C319" s="211"/>
      <c r="D319" s="211" t="str">
        <f t="shared" si="8"/>
        <v/>
      </c>
      <c r="E319" s="210" t="str">
        <f t="shared" si="9"/>
        <v/>
      </c>
      <c r="F319" s="210"/>
      <c r="G319" s="210"/>
      <c r="H319" s="210"/>
      <c r="I319" s="210"/>
      <c r="J319" s="210"/>
      <c r="K319" s="210"/>
      <c r="L319" s="210"/>
      <c r="M319" s="210"/>
      <c r="N319" s="210"/>
      <c r="O319" s="196"/>
    </row>
    <row r="320" spans="1:15" s="212" customFormat="1" ht="15.75">
      <c r="A320" s="209" t="str">
        <f ca="1">IF(ISNA(VLOOKUP(D320,'Standard Smelter Names'!$B$3:$E$165,4,FALSE)),"",VLOOKUP(D320,'Standard Smelter Names'!$B$3:$E$165,4,FALSE))</f>
        <v/>
      </c>
      <c r="B320" s="210"/>
      <c r="C320" s="211"/>
      <c r="D320" s="211" t="str">
        <f t="shared" si="8"/>
        <v/>
      </c>
      <c r="E320" s="210" t="str">
        <f t="shared" si="9"/>
        <v/>
      </c>
      <c r="F320" s="210"/>
      <c r="G320" s="210"/>
      <c r="H320" s="210"/>
      <c r="I320" s="210"/>
      <c r="J320" s="210"/>
      <c r="K320" s="210"/>
      <c r="L320" s="210"/>
      <c r="M320" s="210"/>
      <c r="N320" s="210"/>
      <c r="O320" s="196"/>
    </row>
    <row r="321" spans="1:15" s="212" customFormat="1" ht="15.75">
      <c r="A321" s="209" t="str">
        <f ca="1">IF(ISNA(VLOOKUP(D321,'Standard Smelter Names'!$B$3:$E$165,4,FALSE)),"",VLOOKUP(D321,'Standard Smelter Names'!$B$3:$E$165,4,FALSE))</f>
        <v/>
      </c>
      <c r="B321" s="210"/>
      <c r="C321" s="211"/>
      <c r="D321" s="211" t="str">
        <f t="shared" si="8"/>
        <v/>
      </c>
      <c r="E321" s="210" t="str">
        <f t="shared" si="9"/>
        <v/>
      </c>
      <c r="F321" s="210"/>
      <c r="G321" s="210"/>
      <c r="H321" s="210"/>
      <c r="I321" s="210"/>
      <c r="J321" s="210"/>
      <c r="K321" s="210"/>
      <c r="L321" s="210"/>
      <c r="M321" s="210"/>
      <c r="N321" s="210"/>
      <c r="O321" s="196"/>
    </row>
    <row r="322" spans="1:15" s="212" customFormat="1" ht="15.75">
      <c r="A322" s="209" t="str">
        <f ca="1">IF(ISNA(VLOOKUP(D322,'Standard Smelter Names'!$B$3:$E$165,4,FALSE)),"",VLOOKUP(D322,'Standard Smelter Names'!$B$3:$E$165,4,FALSE))</f>
        <v/>
      </c>
      <c r="B322" s="210"/>
      <c r="C322" s="211"/>
      <c r="D322" s="211" t="str">
        <f t="shared" si="8"/>
        <v/>
      </c>
      <c r="E322" s="210" t="str">
        <f t="shared" si="9"/>
        <v/>
      </c>
      <c r="F322" s="210"/>
      <c r="G322" s="210"/>
      <c r="H322" s="210"/>
      <c r="I322" s="210"/>
      <c r="J322" s="210"/>
      <c r="K322" s="210"/>
      <c r="L322" s="210"/>
      <c r="M322" s="210"/>
      <c r="N322" s="210"/>
      <c r="O322" s="196"/>
    </row>
    <row r="323" spans="1:15" s="212" customFormat="1" ht="15.75">
      <c r="A323" s="209" t="str">
        <f ca="1">IF(ISNA(VLOOKUP(D323,'Standard Smelter Names'!$B$3:$E$165,4,FALSE)),"",VLOOKUP(D323,'Standard Smelter Names'!$B$3:$E$165,4,FALSE))</f>
        <v/>
      </c>
      <c r="B323" s="210"/>
      <c r="C323" s="211"/>
      <c r="D323" s="211" t="str">
        <f t="shared" si="8"/>
        <v/>
      </c>
      <c r="E323" s="210" t="str">
        <f t="shared" si="9"/>
        <v/>
      </c>
      <c r="F323" s="210"/>
      <c r="G323" s="210"/>
      <c r="H323" s="210"/>
      <c r="I323" s="210"/>
      <c r="J323" s="210"/>
      <c r="K323" s="210"/>
      <c r="L323" s="210"/>
      <c r="M323" s="210"/>
      <c r="N323" s="210"/>
      <c r="O323" s="196"/>
    </row>
    <row r="324" spans="1:15" s="212" customFormat="1" ht="15.75">
      <c r="A324" s="209" t="str">
        <f ca="1">IF(ISNA(VLOOKUP(D324,'Standard Smelter Names'!$B$3:$E$165,4,FALSE)),"",VLOOKUP(D324,'Standard Smelter Names'!$B$3:$E$165,4,FALSE))</f>
        <v/>
      </c>
      <c r="B324" s="210"/>
      <c r="C324" s="211"/>
      <c r="D324" s="211" t="str">
        <f t="shared" si="8"/>
        <v/>
      </c>
      <c r="E324" s="210" t="str">
        <f t="shared" si="9"/>
        <v/>
      </c>
      <c r="F324" s="210"/>
      <c r="G324" s="210"/>
      <c r="H324" s="210"/>
      <c r="I324" s="210"/>
      <c r="J324" s="210"/>
      <c r="K324" s="210"/>
      <c r="L324" s="210"/>
      <c r="M324" s="210"/>
      <c r="N324" s="210"/>
      <c r="O324" s="196"/>
    </row>
    <row r="325" spans="1:15" s="212" customFormat="1" ht="15.75">
      <c r="A325" s="209" t="str">
        <f ca="1">IF(ISNA(VLOOKUP(D325,'Standard Smelter Names'!$B$3:$E$165,4,FALSE)),"",VLOOKUP(D325,'Standard Smelter Names'!$B$3:$E$165,4,FALSE))</f>
        <v/>
      </c>
      <c r="B325" s="210"/>
      <c r="C325" s="211"/>
      <c r="D325" s="211" t="str">
        <f t="shared" ref="D325:D388" si="10">IF(ISNA(VLOOKUP(C325,$G$1023:$I$1379,3,FALSE)),"",VLOOKUP(C325,$G$1023:$I$1379,3,FALSE))</f>
        <v/>
      </c>
      <c r="E325" s="210" t="str">
        <f t="shared" ref="E325:E388" si="11">IF(ISNA(VLOOKUP(C325,$G$1023:$I$1379,2,FALSE)),"",VLOOKUP(C325,$G$1023:$I$1379,2,FALSE))</f>
        <v/>
      </c>
      <c r="F325" s="210"/>
      <c r="G325" s="210"/>
      <c r="H325" s="210"/>
      <c r="I325" s="210"/>
      <c r="J325" s="210"/>
      <c r="K325" s="210"/>
      <c r="L325" s="210"/>
      <c r="M325" s="210"/>
      <c r="N325" s="210"/>
      <c r="O325" s="196"/>
    </row>
    <row r="326" spans="1:15" s="212" customFormat="1" ht="15.75">
      <c r="A326" s="209" t="str">
        <f ca="1">IF(ISNA(VLOOKUP(D326,'Standard Smelter Names'!$B$3:$E$165,4,FALSE)),"",VLOOKUP(D326,'Standard Smelter Names'!$B$3:$E$165,4,FALSE))</f>
        <v/>
      </c>
      <c r="B326" s="210"/>
      <c r="C326" s="211"/>
      <c r="D326" s="211" t="str">
        <f t="shared" si="10"/>
        <v/>
      </c>
      <c r="E326" s="210" t="str">
        <f t="shared" si="11"/>
        <v/>
      </c>
      <c r="F326" s="210"/>
      <c r="G326" s="210"/>
      <c r="H326" s="210"/>
      <c r="I326" s="210"/>
      <c r="J326" s="210"/>
      <c r="K326" s="210"/>
      <c r="L326" s="210"/>
      <c r="M326" s="210"/>
      <c r="N326" s="210"/>
      <c r="O326" s="196"/>
    </row>
    <row r="327" spans="1:15" s="212" customFormat="1" ht="15.75">
      <c r="A327" s="209" t="str">
        <f ca="1">IF(ISNA(VLOOKUP(D327,'Standard Smelter Names'!$B$3:$E$165,4,FALSE)),"",VLOOKUP(D327,'Standard Smelter Names'!$B$3:$E$165,4,FALSE))</f>
        <v/>
      </c>
      <c r="B327" s="210"/>
      <c r="C327" s="211"/>
      <c r="D327" s="211" t="str">
        <f t="shared" si="10"/>
        <v/>
      </c>
      <c r="E327" s="210" t="str">
        <f t="shared" si="11"/>
        <v/>
      </c>
      <c r="F327" s="210"/>
      <c r="G327" s="210"/>
      <c r="H327" s="210"/>
      <c r="I327" s="210"/>
      <c r="J327" s="210"/>
      <c r="K327" s="210"/>
      <c r="L327" s="210"/>
      <c r="M327" s="210"/>
      <c r="N327" s="210"/>
      <c r="O327" s="196"/>
    </row>
    <row r="328" spans="1:15" s="212" customFormat="1" ht="15.75">
      <c r="A328" s="209" t="str">
        <f ca="1">IF(ISNA(VLOOKUP(D328,'Standard Smelter Names'!$B$3:$E$165,4,FALSE)),"",VLOOKUP(D328,'Standard Smelter Names'!$B$3:$E$165,4,FALSE))</f>
        <v/>
      </c>
      <c r="B328" s="210"/>
      <c r="C328" s="211"/>
      <c r="D328" s="211" t="str">
        <f t="shared" si="10"/>
        <v/>
      </c>
      <c r="E328" s="210" t="str">
        <f t="shared" si="11"/>
        <v/>
      </c>
      <c r="F328" s="210"/>
      <c r="G328" s="210"/>
      <c r="H328" s="210"/>
      <c r="I328" s="210"/>
      <c r="J328" s="210"/>
      <c r="K328" s="210"/>
      <c r="L328" s="210"/>
      <c r="M328" s="210"/>
      <c r="N328" s="210"/>
      <c r="O328" s="196"/>
    </row>
    <row r="329" spans="1:15" s="212" customFormat="1" ht="15.75">
      <c r="A329" s="209" t="str">
        <f ca="1">IF(ISNA(VLOOKUP(D329,'Standard Smelter Names'!$B$3:$E$165,4,FALSE)),"",VLOOKUP(D329,'Standard Smelter Names'!$B$3:$E$165,4,FALSE))</f>
        <v/>
      </c>
      <c r="B329" s="210"/>
      <c r="C329" s="211"/>
      <c r="D329" s="211" t="str">
        <f t="shared" si="10"/>
        <v/>
      </c>
      <c r="E329" s="210" t="str">
        <f t="shared" si="11"/>
        <v/>
      </c>
      <c r="F329" s="210"/>
      <c r="G329" s="210"/>
      <c r="H329" s="210"/>
      <c r="I329" s="210"/>
      <c r="J329" s="210"/>
      <c r="K329" s="210"/>
      <c r="L329" s="210"/>
      <c r="M329" s="210"/>
      <c r="N329" s="210"/>
      <c r="O329" s="196"/>
    </row>
    <row r="330" spans="1:15" s="212" customFormat="1" ht="15.75">
      <c r="A330" s="209" t="str">
        <f ca="1">IF(ISNA(VLOOKUP(D330,'Standard Smelter Names'!$B$3:$E$165,4,FALSE)),"",VLOOKUP(D330,'Standard Smelter Names'!$B$3:$E$165,4,FALSE))</f>
        <v/>
      </c>
      <c r="B330" s="210"/>
      <c r="C330" s="211"/>
      <c r="D330" s="211" t="str">
        <f t="shared" si="10"/>
        <v/>
      </c>
      <c r="E330" s="210" t="str">
        <f t="shared" si="11"/>
        <v/>
      </c>
      <c r="F330" s="210"/>
      <c r="G330" s="210"/>
      <c r="H330" s="210"/>
      <c r="I330" s="210"/>
      <c r="J330" s="210"/>
      <c r="K330" s="210"/>
      <c r="L330" s="210"/>
      <c r="M330" s="210"/>
      <c r="N330" s="210"/>
      <c r="O330" s="196"/>
    </row>
    <row r="331" spans="1:15" s="212" customFormat="1" ht="15.75">
      <c r="A331" s="209" t="str">
        <f ca="1">IF(ISNA(VLOOKUP(D331,'Standard Smelter Names'!$B$3:$E$165,4,FALSE)),"",VLOOKUP(D331,'Standard Smelter Names'!$B$3:$E$165,4,FALSE))</f>
        <v/>
      </c>
      <c r="B331" s="210"/>
      <c r="C331" s="211"/>
      <c r="D331" s="211" t="str">
        <f t="shared" si="10"/>
        <v/>
      </c>
      <c r="E331" s="210" t="str">
        <f t="shared" si="11"/>
        <v/>
      </c>
      <c r="F331" s="210"/>
      <c r="G331" s="210"/>
      <c r="H331" s="210"/>
      <c r="I331" s="210"/>
      <c r="J331" s="210"/>
      <c r="K331" s="210"/>
      <c r="L331" s="210"/>
      <c r="M331" s="210"/>
      <c r="N331" s="210"/>
      <c r="O331" s="196"/>
    </row>
    <row r="332" spans="1:15" s="212" customFormat="1" ht="15.75">
      <c r="A332" s="209" t="str">
        <f ca="1">IF(ISNA(VLOOKUP(D332,'Standard Smelter Names'!$B$3:$E$165,4,FALSE)),"",VLOOKUP(D332,'Standard Smelter Names'!$B$3:$E$165,4,FALSE))</f>
        <v/>
      </c>
      <c r="B332" s="210"/>
      <c r="C332" s="211"/>
      <c r="D332" s="211" t="str">
        <f t="shared" si="10"/>
        <v/>
      </c>
      <c r="E332" s="210" t="str">
        <f t="shared" si="11"/>
        <v/>
      </c>
      <c r="F332" s="210"/>
      <c r="G332" s="210"/>
      <c r="H332" s="210"/>
      <c r="I332" s="210"/>
      <c r="J332" s="210"/>
      <c r="K332" s="210"/>
      <c r="L332" s="210"/>
      <c r="M332" s="210"/>
      <c r="N332" s="210"/>
      <c r="O332" s="196"/>
    </row>
    <row r="333" spans="1:15" s="212" customFormat="1" ht="15.75">
      <c r="A333" s="209" t="str">
        <f ca="1">IF(ISNA(VLOOKUP(D333,'Standard Smelter Names'!$B$3:$E$165,4,FALSE)),"",VLOOKUP(D333,'Standard Smelter Names'!$B$3:$E$165,4,FALSE))</f>
        <v/>
      </c>
      <c r="B333" s="210"/>
      <c r="C333" s="211"/>
      <c r="D333" s="211" t="str">
        <f t="shared" si="10"/>
        <v/>
      </c>
      <c r="E333" s="210" t="str">
        <f t="shared" si="11"/>
        <v/>
      </c>
      <c r="F333" s="210"/>
      <c r="G333" s="210"/>
      <c r="H333" s="210"/>
      <c r="I333" s="210"/>
      <c r="J333" s="210"/>
      <c r="K333" s="210"/>
      <c r="L333" s="210"/>
      <c r="M333" s="210"/>
      <c r="N333" s="210"/>
      <c r="O333" s="196"/>
    </row>
    <row r="334" spans="1:15" s="212" customFormat="1" ht="15.75">
      <c r="A334" s="209" t="str">
        <f ca="1">IF(ISNA(VLOOKUP(D334,'Standard Smelter Names'!$B$3:$E$165,4,FALSE)),"",VLOOKUP(D334,'Standard Smelter Names'!$B$3:$E$165,4,FALSE))</f>
        <v/>
      </c>
      <c r="B334" s="210"/>
      <c r="C334" s="211"/>
      <c r="D334" s="211" t="str">
        <f t="shared" si="10"/>
        <v/>
      </c>
      <c r="E334" s="210" t="str">
        <f t="shared" si="11"/>
        <v/>
      </c>
      <c r="F334" s="210"/>
      <c r="G334" s="210"/>
      <c r="H334" s="210"/>
      <c r="I334" s="210"/>
      <c r="J334" s="210"/>
      <c r="K334" s="210"/>
      <c r="L334" s="210"/>
      <c r="M334" s="210"/>
      <c r="N334" s="210"/>
      <c r="O334" s="196"/>
    </row>
    <row r="335" spans="1:15" s="212" customFormat="1" ht="15.75">
      <c r="A335" s="209" t="str">
        <f ca="1">IF(ISNA(VLOOKUP(D335,'Standard Smelter Names'!$B$3:$E$165,4,FALSE)),"",VLOOKUP(D335,'Standard Smelter Names'!$B$3:$E$165,4,FALSE))</f>
        <v/>
      </c>
      <c r="B335" s="210"/>
      <c r="C335" s="211"/>
      <c r="D335" s="211" t="str">
        <f t="shared" si="10"/>
        <v/>
      </c>
      <c r="E335" s="210" t="str">
        <f t="shared" si="11"/>
        <v/>
      </c>
      <c r="F335" s="210"/>
      <c r="G335" s="210"/>
      <c r="H335" s="210"/>
      <c r="I335" s="210"/>
      <c r="J335" s="210"/>
      <c r="K335" s="210"/>
      <c r="L335" s="210"/>
      <c r="M335" s="210"/>
      <c r="N335" s="210"/>
      <c r="O335" s="196"/>
    </row>
    <row r="336" spans="1:15" s="212" customFormat="1" ht="15.75">
      <c r="A336" s="209" t="str">
        <f ca="1">IF(ISNA(VLOOKUP(D336,'Standard Smelter Names'!$B$3:$E$165,4,FALSE)),"",VLOOKUP(D336,'Standard Smelter Names'!$B$3:$E$165,4,FALSE))</f>
        <v/>
      </c>
      <c r="B336" s="210"/>
      <c r="C336" s="211"/>
      <c r="D336" s="211" t="str">
        <f t="shared" si="10"/>
        <v/>
      </c>
      <c r="E336" s="210" t="str">
        <f t="shared" si="11"/>
        <v/>
      </c>
      <c r="F336" s="210"/>
      <c r="G336" s="210"/>
      <c r="H336" s="210"/>
      <c r="I336" s="210"/>
      <c r="J336" s="210"/>
      <c r="K336" s="210"/>
      <c r="L336" s="210"/>
      <c r="M336" s="210"/>
      <c r="N336" s="210"/>
      <c r="O336" s="196"/>
    </row>
    <row r="337" spans="1:15" s="212" customFormat="1" ht="15.75">
      <c r="A337" s="209" t="str">
        <f ca="1">IF(ISNA(VLOOKUP(D337,'Standard Smelter Names'!$B$3:$E$165,4,FALSE)),"",VLOOKUP(D337,'Standard Smelter Names'!$B$3:$E$165,4,FALSE))</f>
        <v/>
      </c>
      <c r="B337" s="210"/>
      <c r="C337" s="211"/>
      <c r="D337" s="211" t="str">
        <f t="shared" si="10"/>
        <v/>
      </c>
      <c r="E337" s="210" t="str">
        <f t="shared" si="11"/>
        <v/>
      </c>
      <c r="F337" s="210"/>
      <c r="G337" s="210"/>
      <c r="H337" s="210"/>
      <c r="I337" s="210"/>
      <c r="J337" s="210"/>
      <c r="K337" s="210"/>
      <c r="L337" s="210"/>
      <c r="M337" s="210"/>
      <c r="N337" s="210"/>
      <c r="O337" s="196"/>
    </row>
    <row r="338" spans="1:15" s="212" customFormat="1" ht="15.75">
      <c r="A338" s="209" t="str">
        <f ca="1">IF(ISNA(VLOOKUP(D338,'Standard Smelter Names'!$B$3:$E$165,4,FALSE)),"",VLOOKUP(D338,'Standard Smelter Names'!$B$3:$E$165,4,FALSE))</f>
        <v/>
      </c>
      <c r="B338" s="210"/>
      <c r="C338" s="211"/>
      <c r="D338" s="211" t="str">
        <f t="shared" si="10"/>
        <v/>
      </c>
      <c r="E338" s="210" t="str">
        <f t="shared" si="11"/>
        <v/>
      </c>
      <c r="F338" s="210"/>
      <c r="G338" s="210"/>
      <c r="H338" s="210"/>
      <c r="I338" s="210"/>
      <c r="J338" s="210"/>
      <c r="K338" s="210"/>
      <c r="L338" s="210"/>
      <c r="M338" s="210"/>
      <c r="N338" s="210"/>
      <c r="O338" s="196"/>
    </row>
    <row r="339" spans="1:15" s="212" customFormat="1" ht="15.75">
      <c r="A339" s="209" t="str">
        <f ca="1">IF(ISNA(VLOOKUP(D339,'Standard Smelter Names'!$B$3:$E$165,4,FALSE)),"",VLOOKUP(D339,'Standard Smelter Names'!$B$3:$E$165,4,FALSE))</f>
        <v/>
      </c>
      <c r="B339" s="210"/>
      <c r="C339" s="211"/>
      <c r="D339" s="211" t="str">
        <f t="shared" si="10"/>
        <v/>
      </c>
      <c r="E339" s="210" t="str">
        <f t="shared" si="11"/>
        <v/>
      </c>
      <c r="F339" s="210"/>
      <c r="G339" s="210"/>
      <c r="H339" s="210"/>
      <c r="I339" s="210"/>
      <c r="J339" s="210"/>
      <c r="K339" s="210"/>
      <c r="L339" s="210"/>
      <c r="M339" s="210"/>
      <c r="N339" s="210"/>
      <c r="O339" s="196"/>
    </row>
    <row r="340" spans="1:15" s="212" customFormat="1" ht="15.75">
      <c r="A340" s="209" t="str">
        <f ca="1">IF(ISNA(VLOOKUP(D340,'Standard Smelter Names'!$B$3:$E$165,4,FALSE)),"",VLOOKUP(D340,'Standard Smelter Names'!$B$3:$E$165,4,FALSE))</f>
        <v/>
      </c>
      <c r="B340" s="210"/>
      <c r="C340" s="211"/>
      <c r="D340" s="211" t="str">
        <f t="shared" si="10"/>
        <v/>
      </c>
      <c r="E340" s="210" t="str">
        <f t="shared" si="11"/>
        <v/>
      </c>
      <c r="F340" s="210"/>
      <c r="G340" s="210"/>
      <c r="H340" s="210"/>
      <c r="I340" s="210"/>
      <c r="J340" s="210"/>
      <c r="K340" s="210"/>
      <c r="L340" s="210"/>
      <c r="M340" s="210"/>
      <c r="N340" s="210"/>
      <c r="O340" s="196"/>
    </row>
    <row r="341" spans="1:15" s="212" customFormat="1" ht="15.75">
      <c r="A341" s="209" t="str">
        <f ca="1">IF(ISNA(VLOOKUP(D341,'Standard Smelter Names'!$B$3:$E$165,4,FALSE)),"",VLOOKUP(D341,'Standard Smelter Names'!$B$3:$E$165,4,FALSE))</f>
        <v/>
      </c>
      <c r="B341" s="210"/>
      <c r="C341" s="211"/>
      <c r="D341" s="211" t="str">
        <f t="shared" si="10"/>
        <v/>
      </c>
      <c r="E341" s="210" t="str">
        <f t="shared" si="11"/>
        <v/>
      </c>
      <c r="F341" s="210"/>
      <c r="G341" s="210"/>
      <c r="H341" s="210"/>
      <c r="I341" s="210"/>
      <c r="J341" s="210"/>
      <c r="K341" s="210"/>
      <c r="L341" s="210"/>
      <c r="M341" s="210"/>
      <c r="N341" s="210"/>
      <c r="O341" s="196"/>
    </row>
    <row r="342" spans="1:15" s="212" customFormat="1" ht="15.75">
      <c r="A342" s="209" t="str">
        <f ca="1">IF(ISNA(VLOOKUP(D342,'Standard Smelter Names'!$B$3:$E$165,4,FALSE)),"",VLOOKUP(D342,'Standard Smelter Names'!$B$3:$E$165,4,FALSE))</f>
        <v/>
      </c>
      <c r="B342" s="210"/>
      <c r="C342" s="211"/>
      <c r="D342" s="211" t="str">
        <f t="shared" si="10"/>
        <v/>
      </c>
      <c r="E342" s="210" t="str">
        <f t="shared" si="11"/>
        <v/>
      </c>
      <c r="F342" s="210"/>
      <c r="G342" s="210"/>
      <c r="H342" s="210"/>
      <c r="I342" s="210"/>
      <c r="J342" s="210"/>
      <c r="K342" s="210"/>
      <c r="L342" s="210"/>
      <c r="M342" s="210"/>
      <c r="N342" s="210"/>
      <c r="O342" s="196"/>
    </row>
    <row r="343" spans="1:15" s="212" customFormat="1" ht="15.75">
      <c r="A343" s="209" t="str">
        <f ca="1">IF(ISNA(VLOOKUP(D343,'Standard Smelter Names'!$B$3:$E$165,4,FALSE)),"",VLOOKUP(D343,'Standard Smelter Names'!$B$3:$E$165,4,FALSE))</f>
        <v/>
      </c>
      <c r="B343" s="210"/>
      <c r="C343" s="211"/>
      <c r="D343" s="211" t="str">
        <f t="shared" si="10"/>
        <v/>
      </c>
      <c r="E343" s="210" t="str">
        <f t="shared" si="11"/>
        <v/>
      </c>
      <c r="F343" s="210"/>
      <c r="G343" s="210"/>
      <c r="H343" s="210"/>
      <c r="I343" s="210"/>
      <c r="J343" s="210"/>
      <c r="K343" s="210"/>
      <c r="L343" s="210"/>
      <c r="M343" s="210"/>
      <c r="N343" s="210"/>
      <c r="O343" s="196"/>
    </row>
    <row r="344" spans="1:15" s="212" customFormat="1" ht="15.75">
      <c r="A344" s="209" t="str">
        <f ca="1">IF(ISNA(VLOOKUP(D344,'Standard Smelter Names'!$B$3:$E$165,4,FALSE)),"",VLOOKUP(D344,'Standard Smelter Names'!$B$3:$E$165,4,FALSE))</f>
        <v/>
      </c>
      <c r="B344" s="210"/>
      <c r="C344" s="211"/>
      <c r="D344" s="211" t="str">
        <f t="shared" si="10"/>
        <v/>
      </c>
      <c r="E344" s="210" t="str">
        <f t="shared" si="11"/>
        <v/>
      </c>
      <c r="F344" s="210"/>
      <c r="G344" s="210"/>
      <c r="H344" s="210"/>
      <c r="I344" s="210"/>
      <c r="J344" s="210"/>
      <c r="K344" s="210"/>
      <c r="L344" s="210"/>
      <c r="M344" s="210"/>
      <c r="N344" s="210"/>
      <c r="O344" s="196"/>
    </row>
    <row r="345" spans="1:15" s="212" customFormat="1" ht="15.75">
      <c r="A345" s="209" t="str">
        <f ca="1">IF(ISNA(VLOOKUP(D345,'Standard Smelter Names'!$B$3:$E$165,4,FALSE)),"",VLOOKUP(D345,'Standard Smelter Names'!$B$3:$E$165,4,FALSE))</f>
        <v/>
      </c>
      <c r="B345" s="210"/>
      <c r="C345" s="211"/>
      <c r="D345" s="211" t="str">
        <f t="shared" si="10"/>
        <v/>
      </c>
      <c r="E345" s="210" t="str">
        <f t="shared" si="11"/>
        <v/>
      </c>
      <c r="F345" s="210"/>
      <c r="G345" s="210"/>
      <c r="H345" s="210"/>
      <c r="I345" s="210"/>
      <c r="J345" s="210"/>
      <c r="K345" s="210"/>
      <c r="L345" s="210"/>
      <c r="M345" s="210"/>
      <c r="N345" s="210"/>
      <c r="O345" s="196"/>
    </row>
    <row r="346" spans="1:15" s="212" customFormat="1" ht="15.75">
      <c r="A346" s="209" t="str">
        <f ca="1">IF(ISNA(VLOOKUP(D346,'Standard Smelter Names'!$B$3:$E$165,4,FALSE)),"",VLOOKUP(D346,'Standard Smelter Names'!$B$3:$E$165,4,FALSE))</f>
        <v/>
      </c>
      <c r="B346" s="210"/>
      <c r="C346" s="211"/>
      <c r="D346" s="211" t="str">
        <f t="shared" si="10"/>
        <v/>
      </c>
      <c r="E346" s="210" t="str">
        <f t="shared" si="11"/>
        <v/>
      </c>
      <c r="F346" s="210"/>
      <c r="G346" s="210"/>
      <c r="H346" s="210"/>
      <c r="I346" s="210"/>
      <c r="J346" s="210"/>
      <c r="K346" s="210"/>
      <c r="L346" s="210"/>
      <c r="M346" s="210"/>
      <c r="N346" s="210"/>
      <c r="O346" s="196"/>
    </row>
    <row r="347" spans="1:15" s="212" customFormat="1" ht="15.75">
      <c r="A347" s="209" t="str">
        <f ca="1">IF(ISNA(VLOOKUP(D347,'Standard Smelter Names'!$B$3:$E$165,4,FALSE)),"",VLOOKUP(D347,'Standard Smelter Names'!$B$3:$E$165,4,FALSE))</f>
        <v/>
      </c>
      <c r="B347" s="210"/>
      <c r="C347" s="211"/>
      <c r="D347" s="211" t="str">
        <f t="shared" si="10"/>
        <v/>
      </c>
      <c r="E347" s="210" t="str">
        <f t="shared" si="11"/>
        <v/>
      </c>
      <c r="F347" s="210"/>
      <c r="G347" s="210"/>
      <c r="H347" s="210"/>
      <c r="I347" s="210"/>
      <c r="J347" s="210"/>
      <c r="K347" s="210"/>
      <c r="L347" s="210"/>
      <c r="M347" s="210"/>
      <c r="N347" s="210"/>
      <c r="O347" s="196"/>
    </row>
    <row r="348" spans="1:15" s="212" customFormat="1" ht="15.75">
      <c r="A348" s="209" t="str">
        <f ca="1">IF(ISNA(VLOOKUP(D348,'Standard Smelter Names'!$B$3:$E$165,4,FALSE)),"",VLOOKUP(D348,'Standard Smelter Names'!$B$3:$E$165,4,FALSE))</f>
        <v/>
      </c>
      <c r="B348" s="210"/>
      <c r="C348" s="211"/>
      <c r="D348" s="211" t="str">
        <f t="shared" si="10"/>
        <v/>
      </c>
      <c r="E348" s="210" t="str">
        <f t="shared" si="11"/>
        <v/>
      </c>
      <c r="F348" s="210"/>
      <c r="G348" s="210"/>
      <c r="H348" s="210"/>
      <c r="I348" s="210"/>
      <c r="J348" s="210"/>
      <c r="K348" s="210"/>
      <c r="L348" s="210"/>
      <c r="M348" s="210"/>
      <c r="N348" s="210"/>
      <c r="O348" s="196"/>
    </row>
    <row r="349" spans="1:15" s="212" customFormat="1" ht="15.75">
      <c r="A349" s="209" t="str">
        <f ca="1">IF(ISNA(VLOOKUP(D349,'Standard Smelter Names'!$B$3:$E$165,4,FALSE)),"",VLOOKUP(D349,'Standard Smelter Names'!$B$3:$E$165,4,FALSE))</f>
        <v/>
      </c>
      <c r="B349" s="210"/>
      <c r="C349" s="211"/>
      <c r="D349" s="211" t="str">
        <f t="shared" si="10"/>
        <v/>
      </c>
      <c r="E349" s="210" t="str">
        <f t="shared" si="11"/>
        <v/>
      </c>
      <c r="F349" s="210"/>
      <c r="G349" s="210"/>
      <c r="H349" s="210"/>
      <c r="I349" s="210"/>
      <c r="J349" s="210"/>
      <c r="K349" s="210"/>
      <c r="L349" s="210"/>
      <c r="M349" s="210"/>
      <c r="N349" s="210"/>
      <c r="O349" s="196"/>
    </row>
    <row r="350" spans="1:15" s="212" customFormat="1" ht="15.75">
      <c r="A350" s="209" t="str">
        <f ca="1">IF(ISNA(VLOOKUP(D350,'Standard Smelter Names'!$B$3:$E$165,4,FALSE)),"",VLOOKUP(D350,'Standard Smelter Names'!$B$3:$E$165,4,FALSE))</f>
        <v/>
      </c>
      <c r="B350" s="210"/>
      <c r="C350" s="211"/>
      <c r="D350" s="211" t="str">
        <f t="shared" si="10"/>
        <v/>
      </c>
      <c r="E350" s="210" t="str">
        <f t="shared" si="11"/>
        <v/>
      </c>
      <c r="F350" s="210"/>
      <c r="G350" s="210"/>
      <c r="H350" s="210"/>
      <c r="I350" s="210"/>
      <c r="J350" s="210"/>
      <c r="K350" s="210"/>
      <c r="L350" s="210"/>
      <c r="M350" s="210"/>
      <c r="N350" s="210"/>
      <c r="O350" s="196"/>
    </row>
    <row r="351" spans="1:15" s="212" customFormat="1" ht="15.75">
      <c r="A351" s="209" t="str">
        <f ca="1">IF(ISNA(VLOOKUP(D351,'Standard Smelter Names'!$B$3:$E$165,4,FALSE)),"",VLOOKUP(D351,'Standard Smelter Names'!$B$3:$E$165,4,FALSE))</f>
        <v/>
      </c>
      <c r="B351" s="210"/>
      <c r="C351" s="211"/>
      <c r="D351" s="211" t="str">
        <f t="shared" si="10"/>
        <v/>
      </c>
      <c r="E351" s="210" t="str">
        <f t="shared" si="11"/>
        <v/>
      </c>
      <c r="F351" s="210"/>
      <c r="G351" s="210"/>
      <c r="H351" s="210"/>
      <c r="I351" s="210"/>
      <c r="J351" s="210"/>
      <c r="K351" s="210"/>
      <c r="L351" s="210"/>
      <c r="M351" s="210"/>
      <c r="N351" s="210"/>
      <c r="O351" s="196"/>
    </row>
    <row r="352" spans="1:15" s="212" customFormat="1" ht="15.75">
      <c r="A352" s="209" t="str">
        <f ca="1">IF(ISNA(VLOOKUP(D352,'Standard Smelter Names'!$B$3:$E$165,4,FALSE)),"",VLOOKUP(D352,'Standard Smelter Names'!$B$3:$E$165,4,FALSE))</f>
        <v/>
      </c>
      <c r="B352" s="210"/>
      <c r="C352" s="211"/>
      <c r="D352" s="211" t="str">
        <f t="shared" si="10"/>
        <v/>
      </c>
      <c r="E352" s="210" t="str">
        <f t="shared" si="11"/>
        <v/>
      </c>
      <c r="F352" s="210"/>
      <c r="G352" s="210"/>
      <c r="H352" s="210"/>
      <c r="I352" s="210"/>
      <c r="J352" s="210"/>
      <c r="K352" s="210"/>
      <c r="L352" s="210"/>
      <c r="M352" s="210"/>
      <c r="N352" s="210"/>
      <c r="O352" s="196"/>
    </row>
    <row r="353" spans="1:15" s="212" customFormat="1" ht="15.75">
      <c r="A353" s="209" t="str">
        <f ca="1">IF(ISNA(VLOOKUP(D353,'Standard Smelter Names'!$B$3:$E$165,4,FALSE)),"",VLOOKUP(D353,'Standard Smelter Names'!$B$3:$E$165,4,FALSE))</f>
        <v/>
      </c>
      <c r="B353" s="210"/>
      <c r="C353" s="211"/>
      <c r="D353" s="211" t="str">
        <f t="shared" si="10"/>
        <v/>
      </c>
      <c r="E353" s="210" t="str">
        <f t="shared" si="11"/>
        <v/>
      </c>
      <c r="F353" s="210"/>
      <c r="G353" s="210"/>
      <c r="H353" s="210"/>
      <c r="I353" s="210"/>
      <c r="J353" s="210"/>
      <c r="K353" s="210"/>
      <c r="L353" s="210"/>
      <c r="M353" s="210"/>
      <c r="N353" s="210"/>
      <c r="O353" s="196"/>
    </row>
    <row r="354" spans="1:15" s="212" customFormat="1" ht="15.75">
      <c r="A354" s="209" t="str">
        <f ca="1">IF(ISNA(VLOOKUP(D354,'Standard Smelter Names'!$B$3:$E$165,4,FALSE)),"",VLOOKUP(D354,'Standard Smelter Names'!$B$3:$E$165,4,FALSE))</f>
        <v/>
      </c>
      <c r="B354" s="210"/>
      <c r="C354" s="211"/>
      <c r="D354" s="211" t="str">
        <f t="shared" si="10"/>
        <v/>
      </c>
      <c r="E354" s="210" t="str">
        <f t="shared" si="11"/>
        <v/>
      </c>
      <c r="F354" s="210"/>
      <c r="G354" s="210"/>
      <c r="H354" s="210"/>
      <c r="I354" s="210"/>
      <c r="J354" s="210"/>
      <c r="K354" s="210"/>
      <c r="L354" s="210"/>
      <c r="M354" s="210"/>
      <c r="N354" s="210"/>
      <c r="O354" s="196"/>
    </row>
    <row r="355" spans="1:15" s="212" customFormat="1" ht="15.75">
      <c r="A355" s="209" t="str">
        <f ca="1">IF(ISNA(VLOOKUP(D355,'Standard Smelter Names'!$B$3:$E$165,4,FALSE)),"",VLOOKUP(D355,'Standard Smelter Names'!$B$3:$E$165,4,FALSE))</f>
        <v/>
      </c>
      <c r="B355" s="210"/>
      <c r="C355" s="211"/>
      <c r="D355" s="211" t="str">
        <f t="shared" si="10"/>
        <v/>
      </c>
      <c r="E355" s="210" t="str">
        <f t="shared" si="11"/>
        <v/>
      </c>
      <c r="F355" s="210"/>
      <c r="G355" s="210"/>
      <c r="H355" s="210"/>
      <c r="I355" s="210"/>
      <c r="J355" s="210"/>
      <c r="K355" s="210"/>
      <c r="L355" s="210"/>
      <c r="M355" s="210"/>
      <c r="N355" s="210"/>
      <c r="O355" s="196"/>
    </row>
    <row r="356" spans="1:15" s="212" customFormat="1" ht="15.75">
      <c r="A356" s="209" t="str">
        <f ca="1">IF(ISNA(VLOOKUP(D356,'Standard Smelter Names'!$B$3:$E$165,4,FALSE)),"",VLOOKUP(D356,'Standard Smelter Names'!$B$3:$E$165,4,FALSE))</f>
        <v/>
      </c>
      <c r="B356" s="210"/>
      <c r="C356" s="211"/>
      <c r="D356" s="211" t="str">
        <f t="shared" si="10"/>
        <v/>
      </c>
      <c r="E356" s="210" t="str">
        <f t="shared" si="11"/>
        <v/>
      </c>
      <c r="F356" s="210"/>
      <c r="G356" s="210"/>
      <c r="H356" s="210"/>
      <c r="I356" s="210"/>
      <c r="J356" s="210"/>
      <c r="K356" s="210"/>
      <c r="L356" s="210"/>
      <c r="M356" s="210"/>
      <c r="N356" s="210"/>
      <c r="O356" s="196"/>
    </row>
    <row r="357" spans="1:15" s="212" customFormat="1" ht="15.75">
      <c r="A357" s="209" t="str">
        <f ca="1">IF(ISNA(VLOOKUP(D357,'Standard Smelter Names'!$B$3:$E$165,4,FALSE)),"",VLOOKUP(D357,'Standard Smelter Names'!$B$3:$E$165,4,FALSE))</f>
        <v/>
      </c>
      <c r="B357" s="210"/>
      <c r="C357" s="211"/>
      <c r="D357" s="211" t="str">
        <f t="shared" si="10"/>
        <v/>
      </c>
      <c r="E357" s="210" t="str">
        <f t="shared" si="11"/>
        <v/>
      </c>
      <c r="F357" s="210"/>
      <c r="G357" s="210"/>
      <c r="H357" s="210"/>
      <c r="I357" s="210"/>
      <c r="J357" s="210"/>
      <c r="K357" s="210"/>
      <c r="L357" s="210"/>
      <c r="M357" s="210"/>
      <c r="N357" s="210"/>
      <c r="O357" s="196"/>
    </row>
    <row r="358" spans="1:15" s="212" customFormat="1" ht="15.75">
      <c r="A358" s="209" t="str">
        <f ca="1">IF(ISNA(VLOOKUP(D358,'Standard Smelter Names'!$B$3:$E$165,4,FALSE)),"",VLOOKUP(D358,'Standard Smelter Names'!$B$3:$E$165,4,FALSE))</f>
        <v/>
      </c>
      <c r="B358" s="210"/>
      <c r="C358" s="211"/>
      <c r="D358" s="211" t="str">
        <f t="shared" si="10"/>
        <v/>
      </c>
      <c r="E358" s="210" t="str">
        <f t="shared" si="11"/>
        <v/>
      </c>
      <c r="F358" s="210"/>
      <c r="G358" s="210"/>
      <c r="H358" s="210"/>
      <c r="I358" s="210"/>
      <c r="J358" s="210"/>
      <c r="K358" s="210"/>
      <c r="L358" s="210"/>
      <c r="M358" s="210"/>
      <c r="N358" s="210"/>
      <c r="O358" s="196"/>
    </row>
    <row r="359" spans="1:15" s="212" customFormat="1" ht="15.75">
      <c r="A359" s="209" t="str">
        <f ca="1">IF(ISNA(VLOOKUP(D359,'Standard Smelter Names'!$B$3:$E$165,4,FALSE)),"",VLOOKUP(D359,'Standard Smelter Names'!$B$3:$E$165,4,FALSE))</f>
        <v/>
      </c>
      <c r="B359" s="210"/>
      <c r="C359" s="211"/>
      <c r="D359" s="211" t="str">
        <f t="shared" si="10"/>
        <v/>
      </c>
      <c r="E359" s="210" t="str">
        <f t="shared" si="11"/>
        <v/>
      </c>
      <c r="F359" s="210"/>
      <c r="G359" s="210"/>
      <c r="H359" s="210"/>
      <c r="I359" s="210"/>
      <c r="J359" s="210"/>
      <c r="K359" s="210"/>
      <c r="L359" s="210"/>
      <c r="M359" s="210"/>
      <c r="N359" s="210"/>
      <c r="O359" s="196"/>
    </row>
    <row r="360" spans="1:15" s="212" customFormat="1" ht="15.75">
      <c r="A360" s="209" t="str">
        <f ca="1">IF(ISNA(VLOOKUP(D360,'Standard Smelter Names'!$B$3:$E$165,4,FALSE)),"",VLOOKUP(D360,'Standard Smelter Names'!$B$3:$E$165,4,FALSE))</f>
        <v/>
      </c>
      <c r="B360" s="210"/>
      <c r="C360" s="211"/>
      <c r="D360" s="211" t="str">
        <f t="shared" si="10"/>
        <v/>
      </c>
      <c r="E360" s="210" t="str">
        <f t="shared" si="11"/>
        <v/>
      </c>
      <c r="F360" s="210"/>
      <c r="G360" s="210"/>
      <c r="H360" s="210"/>
      <c r="I360" s="210"/>
      <c r="J360" s="210"/>
      <c r="K360" s="210"/>
      <c r="L360" s="210"/>
      <c r="M360" s="210"/>
      <c r="N360" s="210"/>
      <c r="O360" s="196"/>
    </row>
    <row r="361" spans="1:15" s="212" customFormat="1" ht="15.75">
      <c r="A361" s="209" t="str">
        <f ca="1">IF(ISNA(VLOOKUP(D361,'Standard Smelter Names'!$B$3:$E$165,4,FALSE)),"",VLOOKUP(D361,'Standard Smelter Names'!$B$3:$E$165,4,FALSE))</f>
        <v/>
      </c>
      <c r="B361" s="210"/>
      <c r="C361" s="211"/>
      <c r="D361" s="211" t="str">
        <f t="shared" si="10"/>
        <v/>
      </c>
      <c r="E361" s="210" t="str">
        <f t="shared" si="11"/>
        <v/>
      </c>
      <c r="F361" s="210"/>
      <c r="G361" s="210"/>
      <c r="H361" s="210"/>
      <c r="I361" s="210"/>
      <c r="J361" s="210"/>
      <c r="K361" s="210"/>
      <c r="L361" s="210"/>
      <c r="M361" s="210"/>
      <c r="N361" s="210"/>
      <c r="O361" s="196"/>
    </row>
    <row r="362" spans="1:15" s="212" customFormat="1" ht="15.75">
      <c r="A362" s="209" t="str">
        <f ca="1">IF(ISNA(VLOOKUP(D362,'Standard Smelter Names'!$B$3:$E$165,4,FALSE)),"",VLOOKUP(D362,'Standard Smelter Names'!$B$3:$E$165,4,FALSE))</f>
        <v/>
      </c>
      <c r="B362" s="210"/>
      <c r="C362" s="211"/>
      <c r="D362" s="211" t="str">
        <f t="shared" si="10"/>
        <v/>
      </c>
      <c r="E362" s="210" t="str">
        <f t="shared" si="11"/>
        <v/>
      </c>
      <c r="F362" s="210"/>
      <c r="G362" s="210"/>
      <c r="H362" s="210"/>
      <c r="I362" s="210"/>
      <c r="J362" s="210"/>
      <c r="K362" s="210"/>
      <c r="L362" s="210"/>
      <c r="M362" s="210"/>
      <c r="N362" s="210"/>
      <c r="O362" s="196"/>
    </row>
    <row r="363" spans="1:15" s="212" customFormat="1" ht="15.75">
      <c r="A363" s="209" t="str">
        <f ca="1">IF(ISNA(VLOOKUP(D363,'Standard Smelter Names'!$B$3:$E$165,4,FALSE)),"",VLOOKUP(D363,'Standard Smelter Names'!$B$3:$E$165,4,FALSE))</f>
        <v/>
      </c>
      <c r="B363" s="210"/>
      <c r="C363" s="211"/>
      <c r="D363" s="211" t="str">
        <f t="shared" si="10"/>
        <v/>
      </c>
      <c r="E363" s="210" t="str">
        <f t="shared" si="11"/>
        <v/>
      </c>
      <c r="F363" s="210"/>
      <c r="G363" s="210"/>
      <c r="H363" s="210"/>
      <c r="I363" s="210"/>
      <c r="J363" s="210"/>
      <c r="K363" s="210"/>
      <c r="L363" s="210"/>
      <c r="M363" s="210"/>
      <c r="N363" s="210"/>
      <c r="O363" s="196"/>
    </row>
    <row r="364" spans="1:15" s="212" customFormat="1" ht="15.75">
      <c r="A364" s="209" t="str">
        <f ca="1">IF(ISNA(VLOOKUP(D364,'Standard Smelter Names'!$B$3:$E$165,4,FALSE)),"",VLOOKUP(D364,'Standard Smelter Names'!$B$3:$E$165,4,FALSE))</f>
        <v/>
      </c>
      <c r="B364" s="210"/>
      <c r="C364" s="211"/>
      <c r="D364" s="211" t="str">
        <f t="shared" si="10"/>
        <v/>
      </c>
      <c r="E364" s="210" t="str">
        <f t="shared" si="11"/>
        <v/>
      </c>
      <c r="F364" s="210"/>
      <c r="G364" s="210"/>
      <c r="H364" s="210"/>
      <c r="I364" s="210"/>
      <c r="J364" s="210"/>
      <c r="K364" s="210"/>
      <c r="L364" s="210"/>
      <c r="M364" s="210"/>
      <c r="N364" s="210"/>
      <c r="O364" s="196"/>
    </row>
    <row r="365" spans="1:15" s="212" customFormat="1" ht="15.75">
      <c r="A365" s="209" t="str">
        <f ca="1">IF(ISNA(VLOOKUP(D365,'Standard Smelter Names'!$B$3:$E$165,4,FALSE)),"",VLOOKUP(D365,'Standard Smelter Names'!$B$3:$E$165,4,FALSE))</f>
        <v/>
      </c>
      <c r="B365" s="210"/>
      <c r="C365" s="211"/>
      <c r="D365" s="211" t="str">
        <f t="shared" si="10"/>
        <v/>
      </c>
      <c r="E365" s="210" t="str">
        <f t="shared" si="11"/>
        <v/>
      </c>
      <c r="F365" s="210"/>
      <c r="G365" s="210"/>
      <c r="H365" s="210"/>
      <c r="I365" s="210"/>
      <c r="J365" s="210"/>
      <c r="K365" s="210"/>
      <c r="L365" s="210"/>
      <c r="M365" s="210"/>
      <c r="N365" s="210"/>
      <c r="O365" s="196"/>
    </row>
    <row r="366" spans="1:15" s="212" customFormat="1" ht="15.75">
      <c r="A366" s="209" t="str">
        <f ca="1">IF(ISNA(VLOOKUP(D366,'Standard Smelter Names'!$B$3:$E$165,4,FALSE)),"",VLOOKUP(D366,'Standard Smelter Names'!$B$3:$E$165,4,FALSE))</f>
        <v/>
      </c>
      <c r="B366" s="210"/>
      <c r="C366" s="211"/>
      <c r="D366" s="211" t="str">
        <f t="shared" si="10"/>
        <v/>
      </c>
      <c r="E366" s="210" t="str">
        <f t="shared" si="11"/>
        <v/>
      </c>
      <c r="F366" s="210"/>
      <c r="G366" s="210"/>
      <c r="H366" s="210"/>
      <c r="I366" s="210"/>
      <c r="J366" s="210"/>
      <c r="K366" s="210"/>
      <c r="L366" s="210"/>
      <c r="M366" s="210"/>
      <c r="N366" s="210"/>
      <c r="O366" s="196"/>
    </row>
    <row r="367" spans="1:15" s="212" customFormat="1" ht="15.75">
      <c r="A367" s="209" t="str">
        <f ca="1">IF(ISNA(VLOOKUP(D367,'Standard Smelter Names'!$B$3:$E$165,4,FALSE)),"",VLOOKUP(D367,'Standard Smelter Names'!$B$3:$E$165,4,FALSE))</f>
        <v/>
      </c>
      <c r="B367" s="210"/>
      <c r="C367" s="211"/>
      <c r="D367" s="211" t="str">
        <f t="shared" si="10"/>
        <v/>
      </c>
      <c r="E367" s="210" t="str">
        <f t="shared" si="11"/>
        <v/>
      </c>
      <c r="F367" s="210"/>
      <c r="G367" s="210"/>
      <c r="H367" s="210"/>
      <c r="I367" s="210"/>
      <c r="J367" s="210"/>
      <c r="K367" s="210"/>
      <c r="L367" s="210"/>
      <c r="M367" s="210"/>
      <c r="N367" s="210"/>
      <c r="O367" s="196"/>
    </row>
    <row r="368" spans="1:15" s="212" customFormat="1" ht="15.75">
      <c r="A368" s="209" t="str">
        <f ca="1">IF(ISNA(VLOOKUP(D368,'Standard Smelter Names'!$B$3:$E$165,4,FALSE)),"",VLOOKUP(D368,'Standard Smelter Names'!$B$3:$E$165,4,FALSE))</f>
        <v/>
      </c>
      <c r="B368" s="210"/>
      <c r="C368" s="211"/>
      <c r="D368" s="211" t="str">
        <f t="shared" si="10"/>
        <v/>
      </c>
      <c r="E368" s="210" t="str">
        <f t="shared" si="11"/>
        <v/>
      </c>
      <c r="F368" s="210"/>
      <c r="G368" s="210"/>
      <c r="H368" s="210"/>
      <c r="I368" s="210"/>
      <c r="J368" s="210"/>
      <c r="K368" s="210"/>
      <c r="L368" s="210"/>
      <c r="M368" s="210"/>
      <c r="N368" s="210"/>
      <c r="O368" s="196"/>
    </row>
    <row r="369" spans="1:15" s="212" customFormat="1" ht="15.75">
      <c r="A369" s="209" t="str">
        <f ca="1">IF(ISNA(VLOOKUP(D369,'Standard Smelter Names'!$B$3:$E$165,4,FALSE)),"",VLOOKUP(D369,'Standard Smelter Names'!$B$3:$E$165,4,FALSE))</f>
        <v/>
      </c>
      <c r="B369" s="210"/>
      <c r="C369" s="211"/>
      <c r="D369" s="211" t="str">
        <f t="shared" si="10"/>
        <v/>
      </c>
      <c r="E369" s="210" t="str">
        <f t="shared" si="11"/>
        <v/>
      </c>
      <c r="F369" s="210"/>
      <c r="G369" s="210"/>
      <c r="H369" s="210"/>
      <c r="I369" s="210"/>
      <c r="J369" s="210"/>
      <c r="K369" s="210"/>
      <c r="L369" s="210"/>
      <c r="M369" s="210"/>
      <c r="N369" s="210"/>
      <c r="O369" s="196"/>
    </row>
    <row r="370" spans="1:15" s="212" customFormat="1" ht="15.75">
      <c r="A370" s="209" t="str">
        <f ca="1">IF(ISNA(VLOOKUP(D370,'Standard Smelter Names'!$B$3:$E$165,4,FALSE)),"",VLOOKUP(D370,'Standard Smelter Names'!$B$3:$E$165,4,FALSE))</f>
        <v/>
      </c>
      <c r="B370" s="210"/>
      <c r="C370" s="211"/>
      <c r="D370" s="211" t="str">
        <f t="shared" si="10"/>
        <v/>
      </c>
      <c r="E370" s="210" t="str">
        <f t="shared" si="11"/>
        <v/>
      </c>
      <c r="F370" s="210"/>
      <c r="G370" s="210"/>
      <c r="H370" s="210"/>
      <c r="I370" s="210"/>
      <c r="J370" s="210"/>
      <c r="K370" s="210"/>
      <c r="L370" s="210"/>
      <c r="M370" s="210"/>
      <c r="N370" s="210"/>
      <c r="O370" s="196"/>
    </row>
    <row r="371" spans="1:15" s="212" customFormat="1" ht="15.75">
      <c r="A371" s="209" t="str">
        <f ca="1">IF(ISNA(VLOOKUP(D371,'Standard Smelter Names'!$B$3:$E$165,4,FALSE)),"",VLOOKUP(D371,'Standard Smelter Names'!$B$3:$E$165,4,FALSE))</f>
        <v/>
      </c>
      <c r="B371" s="210"/>
      <c r="C371" s="211"/>
      <c r="D371" s="211" t="str">
        <f t="shared" si="10"/>
        <v/>
      </c>
      <c r="E371" s="210" t="str">
        <f t="shared" si="11"/>
        <v/>
      </c>
      <c r="F371" s="210"/>
      <c r="G371" s="210"/>
      <c r="H371" s="210"/>
      <c r="I371" s="210"/>
      <c r="J371" s="210"/>
      <c r="K371" s="210"/>
      <c r="L371" s="210"/>
      <c r="M371" s="210"/>
      <c r="N371" s="210"/>
      <c r="O371" s="196"/>
    </row>
    <row r="372" spans="1:15" s="212" customFormat="1" ht="15.75">
      <c r="A372" s="209" t="str">
        <f ca="1">IF(ISNA(VLOOKUP(D372,'Standard Smelter Names'!$B$3:$E$165,4,FALSE)),"",VLOOKUP(D372,'Standard Smelter Names'!$B$3:$E$165,4,FALSE))</f>
        <v/>
      </c>
      <c r="B372" s="210"/>
      <c r="C372" s="211"/>
      <c r="D372" s="211" t="str">
        <f t="shared" si="10"/>
        <v/>
      </c>
      <c r="E372" s="210" t="str">
        <f t="shared" si="11"/>
        <v/>
      </c>
      <c r="F372" s="210"/>
      <c r="G372" s="210"/>
      <c r="H372" s="210"/>
      <c r="I372" s="210"/>
      <c r="J372" s="210"/>
      <c r="K372" s="210"/>
      <c r="L372" s="210"/>
      <c r="M372" s="210"/>
      <c r="N372" s="210"/>
      <c r="O372" s="196"/>
    </row>
    <row r="373" spans="1:15" s="212" customFormat="1" ht="15.75">
      <c r="A373" s="209" t="str">
        <f ca="1">IF(ISNA(VLOOKUP(D373,'Standard Smelter Names'!$B$3:$E$165,4,FALSE)),"",VLOOKUP(D373,'Standard Smelter Names'!$B$3:$E$165,4,FALSE))</f>
        <v/>
      </c>
      <c r="B373" s="210"/>
      <c r="C373" s="211"/>
      <c r="D373" s="211" t="str">
        <f t="shared" si="10"/>
        <v/>
      </c>
      <c r="E373" s="210" t="str">
        <f t="shared" si="11"/>
        <v/>
      </c>
      <c r="F373" s="210"/>
      <c r="G373" s="210"/>
      <c r="H373" s="210"/>
      <c r="I373" s="210"/>
      <c r="J373" s="210"/>
      <c r="K373" s="210"/>
      <c r="L373" s="210"/>
      <c r="M373" s="210"/>
      <c r="N373" s="210"/>
      <c r="O373" s="196"/>
    </row>
    <row r="374" spans="1:15" s="212" customFormat="1" ht="15.75">
      <c r="A374" s="209" t="str">
        <f ca="1">IF(ISNA(VLOOKUP(D374,'Standard Smelter Names'!$B$3:$E$165,4,FALSE)),"",VLOOKUP(D374,'Standard Smelter Names'!$B$3:$E$165,4,FALSE))</f>
        <v/>
      </c>
      <c r="B374" s="210"/>
      <c r="C374" s="211"/>
      <c r="D374" s="211" t="str">
        <f t="shared" si="10"/>
        <v/>
      </c>
      <c r="E374" s="210" t="str">
        <f t="shared" si="11"/>
        <v/>
      </c>
      <c r="F374" s="210"/>
      <c r="G374" s="210"/>
      <c r="H374" s="210"/>
      <c r="I374" s="210"/>
      <c r="J374" s="210"/>
      <c r="K374" s="210"/>
      <c r="L374" s="210"/>
      <c r="M374" s="210"/>
      <c r="N374" s="210"/>
      <c r="O374" s="196"/>
    </row>
    <row r="375" spans="1:15" s="212" customFormat="1" ht="15.75">
      <c r="A375" s="209" t="str">
        <f ca="1">IF(ISNA(VLOOKUP(D375,'Standard Smelter Names'!$B$3:$E$165,4,FALSE)),"",VLOOKUP(D375,'Standard Smelter Names'!$B$3:$E$165,4,FALSE))</f>
        <v/>
      </c>
      <c r="B375" s="210"/>
      <c r="C375" s="211"/>
      <c r="D375" s="211" t="str">
        <f t="shared" si="10"/>
        <v/>
      </c>
      <c r="E375" s="210" t="str">
        <f t="shared" si="11"/>
        <v/>
      </c>
      <c r="F375" s="210"/>
      <c r="G375" s="210"/>
      <c r="H375" s="210"/>
      <c r="I375" s="210"/>
      <c r="J375" s="210"/>
      <c r="K375" s="210"/>
      <c r="L375" s="210"/>
      <c r="M375" s="210"/>
      <c r="N375" s="210"/>
      <c r="O375" s="196"/>
    </row>
    <row r="376" spans="1:15" s="212" customFormat="1" ht="15.75">
      <c r="A376" s="209" t="str">
        <f ca="1">IF(ISNA(VLOOKUP(D376,'Standard Smelter Names'!$B$3:$E$165,4,FALSE)),"",VLOOKUP(D376,'Standard Smelter Names'!$B$3:$E$165,4,FALSE))</f>
        <v/>
      </c>
      <c r="B376" s="210"/>
      <c r="C376" s="211"/>
      <c r="D376" s="211" t="str">
        <f t="shared" si="10"/>
        <v/>
      </c>
      <c r="E376" s="210" t="str">
        <f t="shared" si="11"/>
        <v/>
      </c>
      <c r="F376" s="210"/>
      <c r="G376" s="210"/>
      <c r="H376" s="210"/>
      <c r="I376" s="210"/>
      <c r="J376" s="210"/>
      <c r="K376" s="210"/>
      <c r="L376" s="210"/>
      <c r="M376" s="210"/>
      <c r="N376" s="210"/>
      <c r="O376" s="196"/>
    </row>
    <row r="377" spans="1:15" s="212" customFormat="1" ht="15.75">
      <c r="A377" s="209" t="str">
        <f ca="1">IF(ISNA(VLOOKUP(D377,'Standard Smelter Names'!$B$3:$E$165,4,FALSE)),"",VLOOKUP(D377,'Standard Smelter Names'!$B$3:$E$165,4,FALSE))</f>
        <v/>
      </c>
      <c r="B377" s="210"/>
      <c r="C377" s="211"/>
      <c r="D377" s="211" t="str">
        <f t="shared" si="10"/>
        <v/>
      </c>
      <c r="E377" s="210" t="str">
        <f t="shared" si="11"/>
        <v/>
      </c>
      <c r="F377" s="210"/>
      <c r="G377" s="210"/>
      <c r="H377" s="210"/>
      <c r="I377" s="210"/>
      <c r="J377" s="210"/>
      <c r="K377" s="210"/>
      <c r="L377" s="210"/>
      <c r="M377" s="210"/>
      <c r="N377" s="210"/>
      <c r="O377" s="196"/>
    </row>
    <row r="378" spans="1:15" s="212" customFormat="1" ht="15.75">
      <c r="A378" s="209" t="str">
        <f ca="1">IF(ISNA(VLOOKUP(D378,'Standard Smelter Names'!$B$3:$E$165,4,FALSE)),"",VLOOKUP(D378,'Standard Smelter Names'!$B$3:$E$165,4,FALSE))</f>
        <v/>
      </c>
      <c r="B378" s="210"/>
      <c r="C378" s="211"/>
      <c r="D378" s="211" t="str">
        <f t="shared" si="10"/>
        <v/>
      </c>
      <c r="E378" s="210" t="str">
        <f t="shared" si="11"/>
        <v/>
      </c>
      <c r="F378" s="210"/>
      <c r="G378" s="210"/>
      <c r="H378" s="210"/>
      <c r="I378" s="210"/>
      <c r="J378" s="210"/>
      <c r="K378" s="210"/>
      <c r="L378" s="210"/>
      <c r="M378" s="210"/>
      <c r="N378" s="210"/>
      <c r="O378" s="196"/>
    </row>
    <row r="379" spans="1:15" s="212" customFormat="1" ht="15.75">
      <c r="A379" s="209" t="str">
        <f ca="1">IF(ISNA(VLOOKUP(D379,'Standard Smelter Names'!$B$3:$E$165,4,FALSE)),"",VLOOKUP(D379,'Standard Smelter Names'!$B$3:$E$165,4,FALSE))</f>
        <v/>
      </c>
      <c r="B379" s="210"/>
      <c r="C379" s="211"/>
      <c r="D379" s="211" t="str">
        <f t="shared" si="10"/>
        <v/>
      </c>
      <c r="E379" s="210" t="str">
        <f t="shared" si="11"/>
        <v/>
      </c>
      <c r="F379" s="210"/>
      <c r="G379" s="210"/>
      <c r="H379" s="210"/>
      <c r="I379" s="210"/>
      <c r="J379" s="210"/>
      <c r="K379" s="210"/>
      <c r="L379" s="210"/>
      <c r="M379" s="210"/>
      <c r="N379" s="210"/>
      <c r="O379" s="196"/>
    </row>
    <row r="380" spans="1:15" s="212" customFormat="1" ht="15.75">
      <c r="A380" s="209" t="str">
        <f ca="1">IF(ISNA(VLOOKUP(D380,'Standard Smelter Names'!$B$3:$E$165,4,FALSE)),"",VLOOKUP(D380,'Standard Smelter Names'!$B$3:$E$165,4,FALSE))</f>
        <v/>
      </c>
      <c r="B380" s="210"/>
      <c r="C380" s="211"/>
      <c r="D380" s="211" t="str">
        <f t="shared" si="10"/>
        <v/>
      </c>
      <c r="E380" s="210" t="str">
        <f t="shared" si="11"/>
        <v/>
      </c>
      <c r="F380" s="210"/>
      <c r="G380" s="210"/>
      <c r="H380" s="210"/>
      <c r="I380" s="210"/>
      <c r="J380" s="210"/>
      <c r="K380" s="210"/>
      <c r="L380" s="210"/>
      <c r="M380" s="210"/>
      <c r="N380" s="210"/>
      <c r="O380" s="196"/>
    </row>
    <row r="381" spans="1:15" s="212" customFormat="1" ht="15.75">
      <c r="A381" s="209" t="str">
        <f ca="1">IF(ISNA(VLOOKUP(D381,'Standard Smelter Names'!$B$3:$E$165,4,FALSE)),"",VLOOKUP(D381,'Standard Smelter Names'!$B$3:$E$165,4,FALSE))</f>
        <v/>
      </c>
      <c r="B381" s="210"/>
      <c r="C381" s="211"/>
      <c r="D381" s="211" t="str">
        <f t="shared" si="10"/>
        <v/>
      </c>
      <c r="E381" s="210" t="str">
        <f t="shared" si="11"/>
        <v/>
      </c>
      <c r="F381" s="210"/>
      <c r="G381" s="210"/>
      <c r="H381" s="210"/>
      <c r="I381" s="210"/>
      <c r="J381" s="210"/>
      <c r="K381" s="210"/>
      <c r="L381" s="210"/>
      <c r="M381" s="210"/>
      <c r="N381" s="210"/>
      <c r="O381" s="196"/>
    </row>
    <row r="382" spans="1:15" s="212" customFormat="1" ht="15.75">
      <c r="A382" s="209" t="str">
        <f ca="1">IF(ISNA(VLOOKUP(D382,'Standard Smelter Names'!$B$3:$E$165,4,FALSE)),"",VLOOKUP(D382,'Standard Smelter Names'!$B$3:$E$165,4,FALSE))</f>
        <v/>
      </c>
      <c r="B382" s="210"/>
      <c r="C382" s="211"/>
      <c r="D382" s="211" t="str">
        <f t="shared" si="10"/>
        <v/>
      </c>
      <c r="E382" s="210" t="str">
        <f t="shared" si="11"/>
        <v/>
      </c>
      <c r="F382" s="210"/>
      <c r="G382" s="210"/>
      <c r="H382" s="210"/>
      <c r="I382" s="210"/>
      <c r="J382" s="210"/>
      <c r="K382" s="210"/>
      <c r="L382" s="210"/>
      <c r="M382" s="210"/>
      <c r="N382" s="210"/>
      <c r="O382" s="196"/>
    </row>
    <row r="383" spans="1:15" s="212" customFormat="1" ht="15.75">
      <c r="A383" s="209" t="str">
        <f ca="1">IF(ISNA(VLOOKUP(D383,'Standard Smelter Names'!$B$3:$E$165,4,FALSE)),"",VLOOKUP(D383,'Standard Smelter Names'!$B$3:$E$165,4,FALSE))</f>
        <v/>
      </c>
      <c r="B383" s="210"/>
      <c r="C383" s="211"/>
      <c r="D383" s="211" t="str">
        <f t="shared" si="10"/>
        <v/>
      </c>
      <c r="E383" s="210" t="str">
        <f t="shared" si="11"/>
        <v/>
      </c>
      <c r="F383" s="210"/>
      <c r="G383" s="210"/>
      <c r="H383" s="210"/>
      <c r="I383" s="210"/>
      <c r="J383" s="210"/>
      <c r="K383" s="210"/>
      <c r="L383" s="210"/>
      <c r="M383" s="210"/>
      <c r="N383" s="210"/>
      <c r="O383" s="196"/>
    </row>
    <row r="384" spans="1:15" s="212" customFormat="1" ht="15.75">
      <c r="A384" s="209" t="str">
        <f ca="1">IF(ISNA(VLOOKUP(D384,'Standard Smelter Names'!$B$3:$E$165,4,FALSE)),"",VLOOKUP(D384,'Standard Smelter Names'!$B$3:$E$165,4,FALSE))</f>
        <v/>
      </c>
      <c r="B384" s="210"/>
      <c r="C384" s="211"/>
      <c r="D384" s="211" t="str">
        <f t="shared" si="10"/>
        <v/>
      </c>
      <c r="E384" s="210" t="str">
        <f t="shared" si="11"/>
        <v/>
      </c>
      <c r="F384" s="210"/>
      <c r="G384" s="210"/>
      <c r="H384" s="210"/>
      <c r="I384" s="210"/>
      <c r="J384" s="210"/>
      <c r="K384" s="210"/>
      <c r="L384" s="210"/>
      <c r="M384" s="210"/>
      <c r="N384" s="210"/>
      <c r="O384" s="196"/>
    </row>
    <row r="385" spans="1:15" s="212" customFormat="1" ht="15.75">
      <c r="A385" s="209" t="str">
        <f ca="1">IF(ISNA(VLOOKUP(D385,'Standard Smelter Names'!$B$3:$E$165,4,FALSE)),"",VLOOKUP(D385,'Standard Smelter Names'!$B$3:$E$165,4,FALSE))</f>
        <v/>
      </c>
      <c r="B385" s="210"/>
      <c r="C385" s="211"/>
      <c r="D385" s="211" t="str">
        <f t="shared" si="10"/>
        <v/>
      </c>
      <c r="E385" s="210" t="str">
        <f t="shared" si="11"/>
        <v/>
      </c>
      <c r="F385" s="210"/>
      <c r="G385" s="210"/>
      <c r="H385" s="210"/>
      <c r="I385" s="210"/>
      <c r="J385" s="210"/>
      <c r="K385" s="210"/>
      <c r="L385" s="210"/>
      <c r="M385" s="210"/>
      <c r="N385" s="210"/>
      <c r="O385" s="196"/>
    </row>
    <row r="386" spans="1:15" s="212" customFormat="1" ht="15.75">
      <c r="A386" s="209" t="str">
        <f ca="1">IF(ISNA(VLOOKUP(D386,'Standard Smelter Names'!$B$3:$E$165,4,FALSE)),"",VLOOKUP(D386,'Standard Smelter Names'!$B$3:$E$165,4,FALSE))</f>
        <v/>
      </c>
      <c r="B386" s="210"/>
      <c r="C386" s="211"/>
      <c r="D386" s="211" t="str">
        <f t="shared" si="10"/>
        <v/>
      </c>
      <c r="E386" s="210" t="str">
        <f t="shared" si="11"/>
        <v/>
      </c>
      <c r="F386" s="210"/>
      <c r="G386" s="210"/>
      <c r="H386" s="210"/>
      <c r="I386" s="210"/>
      <c r="J386" s="210"/>
      <c r="K386" s="210"/>
      <c r="L386" s="210"/>
      <c r="M386" s="210"/>
      <c r="N386" s="210"/>
      <c r="O386" s="196"/>
    </row>
    <row r="387" spans="1:15" s="212" customFormat="1" ht="15.75">
      <c r="A387" s="209" t="str">
        <f ca="1">IF(ISNA(VLOOKUP(D387,'Standard Smelter Names'!$B$3:$E$165,4,FALSE)),"",VLOOKUP(D387,'Standard Smelter Names'!$B$3:$E$165,4,FALSE))</f>
        <v/>
      </c>
      <c r="B387" s="210"/>
      <c r="C387" s="211"/>
      <c r="D387" s="211" t="str">
        <f t="shared" si="10"/>
        <v/>
      </c>
      <c r="E387" s="210" t="str">
        <f t="shared" si="11"/>
        <v/>
      </c>
      <c r="F387" s="210"/>
      <c r="G387" s="210"/>
      <c r="H387" s="210"/>
      <c r="I387" s="210"/>
      <c r="J387" s="210"/>
      <c r="K387" s="210"/>
      <c r="L387" s="210"/>
      <c r="M387" s="210"/>
      <c r="N387" s="210"/>
      <c r="O387" s="196"/>
    </row>
    <row r="388" spans="1:15" s="212" customFormat="1" ht="15.75">
      <c r="A388" s="209" t="str">
        <f ca="1">IF(ISNA(VLOOKUP(D388,'Standard Smelter Names'!$B$3:$E$165,4,FALSE)),"",VLOOKUP(D388,'Standard Smelter Names'!$B$3:$E$165,4,FALSE))</f>
        <v/>
      </c>
      <c r="B388" s="210"/>
      <c r="C388" s="211"/>
      <c r="D388" s="211" t="str">
        <f t="shared" si="10"/>
        <v/>
      </c>
      <c r="E388" s="210" t="str">
        <f t="shared" si="11"/>
        <v/>
      </c>
      <c r="F388" s="210"/>
      <c r="G388" s="210"/>
      <c r="H388" s="210"/>
      <c r="I388" s="210"/>
      <c r="J388" s="210"/>
      <c r="K388" s="210"/>
      <c r="L388" s="210"/>
      <c r="M388" s="210"/>
      <c r="N388" s="210"/>
      <c r="O388" s="196"/>
    </row>
    <row r="389" spans="1:15" s="212" customFormat="1" ht="15.75">
      <c r="A389" s="209" t="str">
        <f ca="1">IF(ISNA(VLOOKUP(D389,'Standard Smelter Names'!$B$3:$E$165,4,FALSE)),"",VLOOKUP(D389,'Standard Smelter Names'!$B$3:$E$165,4,FALSE))</f>
        <v/>
      </c>
      <c r="B389" s="210"/>
      <c r="C389" s="211"/>
      <c r="D389" s="211" t="str">
        <f t="shared" ref="D389:D452" si="12">IF(ISNA(VLOOKUP(C389,$G$1023:$I$1379,3,FALSE)),"",VLOOKUP(C389,$G$1023:$I$1379,3,FALSE))</f>
        <v/>
      </c>
      <c r="E389" s="210" t="str">
        <f t="shared" ref="E389:E452" si="13">IF(ISNA(VLOOKUP(C389,$G$1023:$I$1379,2,FALSE)),"",VLOOKUP(C389,$G$1023:$I$1379,2,FALSE))</f>
        <v/>
      </c>
      <c r="F389" s="210"/>
      <c r="G389" s="210"/>
      <c r="H389" s="210"/>
      <c r="I389" s="210"/>
      <c r="J389" s="210"/>
      <c r="K389" s="210"/>
      <c r="L389" s="210"/>
      <c r="M389" s="210"/>
      <c r="N389" s="210"/>
      <c r="O389" s="196"/>
    </row>
    <row r="390" spans="1:15" s="212" customFormat="1" ht="15.75">
      <c r="A390" s="209" t="str">
        <f ca="1">IF(ISNA(VLOOKUP(D390,'Standard Smelter Names'!$B$3:$E$165,4,FALSE)),"",VLOOKUP(D390,'Standard Smelter Names'!$B$3:$E$165,4,FALSE))</f>
        <v/>
      </c>
      <c r="B390" s="210"/>
      <c r="C390" s="211"/>
      <c r="D390" s="211" t="str">
        <f t="shared" si="12"/>
        <v/>
      </c>
      <c r="E390" s="210" t="str">
        <f t="shared" si="13"/>
        <v/>
      </c>
      <c r="F390" s="210"/>
      <c r="G390" s="210"/>
      <c r="H390" s="210"/>
      <c r="I390" s="210"/>
      <c r="J390" s="210"/>
      <c r="K390" s="210"/>
      <c r="L390" s="210"/>
      <c r="M390" s="210"/>
      <c r="N390" s="210"/>
      <c r="O390" s="196"/>
    </row>
    <row r="391" spans="1:15" s="212" customFormat="1" ht="15.75">
      <c r="A391" s="209" t="str">
        <f ca="1">IF(ISNA(VLOOKUP(D391,'Standard Smelter Names'!$B$3:$E$165,4,FALSE)),"",VLOOKUP(D391,'Standard Smelter Names'!$B$3:$E$165,4,FALSE))</f>
        <v/>
      </c>
      <c r="B391" s="210"/>
      <c r="C391" s="211"/>
      <c r="D391" s="211" t="str">
        <f t="shared" si="12"/>
        <v/>
      </c>
      <c r="E391" s="210" t="str">
        <f t="shared" si="13"/>
        <v/>
      </c>
      <c r="F391" s="210"/>
      <c r="G391" s="210"/>
      <c r="H391" s="210"/>
      <c r="I391" s="210"/>
      <c r="J391" s="210"/>
      <c r="K391" s="210"/>
      <c r="L391" s="210"/>
      <c r="M391" s="210"/>
      <c r="N391" s="210"/>
      <c r="O391" s="196"/>
    </row>
    <row r="392" spans="1:15" s="212" customFormat="1" ht="15.75">
      <c r="A392" s="209" t="str">
        <f ca="1">IF(ISNA(VLOOKUP(D392,'Standard Smelter Names'!$B$3:$E$165,4,FALSE)),"",VLOOKUP(D392,'Standard Smelter Names'!$B$3:$E$165,4,FALSE))</f>
        <v/>
      </c>
      <c r="B392" s="210"/>
      <c r="C392" s="211"/>
      <c r="D392" s="211" t="str">
        <f t="shared" si="12"/>
        <v/>
      </c>
      <c r="E392" s="210" t="str">
        <f t="shared" si="13"/>
        <v/>
      </c>
      <c r="F392" s="210"/>
      <c r="G392" s="210"/>
      <c r="H392" s="210"/>
      <c r="I392" s="210"/>
      <c r="J392" s="210"/>
      <c r="K392" s="210"/>
      <c r="L392" s="210"/>
      <c r="M392" s="210"/>
      <c r="N392" s="210"/>
      <c r="O392" s="196"/>
    </row>
    <row r="393" spans="1:15" s="212" customFormat="1" ht="15.75">
      <c r="A393" s="209" t="str">
        <f ca="1">IF(ISNA(VLOOKUP(D393,'Standard Smelter Names'!$B$3:$E$165,4,FALSE)),"",VLOOKUP(D393,'Standard Smelter Names'!$B$3:$E$165,4,FALSE))</f>
        <v/>
      </c>
      <c r="B393" s="210"/>
      <c r="C393" s="211"/>
      <c r="D393" s="211" t="str">
        <f t="shared" si="12"/>
        <v/>
      </c>
      <c r="E393" s="210" t="str">
        <f t="shared" si="13"/>
        <v/>
      </c>
      <c r="F393" s="210"/>
      <c r="G393" s="210"/>
      <c r="H393" s="210"/>
      <c r="I393" s="210"/>
      <c r="J393" s="210"/>
      <c r="K393" s="210"/>
      <c r="L393" s="210"/>
      <c r="M393" s="210"/>
      <c r="N393" s="210"/>
      <c r="O393" s="196"/>
    </row>
    <row r="394" spans="1:15" s="212" customFormat="1" ht="15.75">
      <c r="A394" s="209" t="str">
        <f ca="1">IF(ISNA(VLOOKUP(D394,'Standard Smelter Names'!$B$3:$E$165,4,FALSE)),"",VLOOKUP(D394,'Standard Smelter Names'!$B$3:$E$165,4,FALSE))</f>
        <v/>
      </c>
      <c r="B394" s="210"/>
      <c r="C394" s="211"/>
      <c r="D394" s="211" t="str">
        <f t="shared" si="12"/>
        <v/>
      </c>
      <c r="E394" s="210" t="str">
        <f t="shared" si="13"/>
        <v/>
      </c>
      <c r="F394" s="210"/>
      <c r="G394" s="210"/>
      <c r="H394" s="210"/>
      <c r="I394" s="210"/>
      <c r="J394" s="210"/>
      <c r="K394" s="210"/>
      <c r="L394" s="210"/>
      <c r="M394" s="210"/>
      <c r="N394" s="210"/>
      <c r="O394" s="196"/>
    </row>
    <row r="395" spans="1:15" s="212" customFormat="1" ht="15.75">
      <c r="A395" s="209" t="str">
        <f ca="1">IF(ISNA(VLOOKUP(D395,'Standard Smelter Names'!$B$3:$E$165,4,FALSE)),"",VLOOKUP(D395,'Standard Smelter Names'!$B$3:$E$165,4,FALSE))</f>
        <v/>
      </c>
      <c r="B395" s="210"/>
      <c r="C395" s="211"/>
      <c r="D395" s="211" t="str">
        <f t="shared" si="12"/>
        <v/>
      </c>
      <c r="E395" s="210" t="str">
        <f t="shared" si="13"/>
        <v/>
      </c>
      <c r="F395" s="210"/>
      <c r="G395" s="210"/>
      <c r="H395" s="210"/>
      <c r="I395" s="210"/>
      <c r="J395" s="210"/>
      <c r="K395" s="210"/>
      <c r="L395" s="210"/>
      <c r="M395" s="210"/>
      <c r="N395" s="210"/>
      <c r="O395" s="196"/>
    </row>
    <row r="396" spans="1:15" s="212" customFormat="1" ht="15.75">
      <c r="A396" s="209" t="str">
        <f ca="1">IF(ISNA(VLOOKUP(D396,'Standard Smelter Names'!$B$3:$E$165,4,FALSE)),"",VLOOKUP(D396,'Standard Smelter Names'!$B$3:$E$165,4,FALSE))</f>
        <v/>
      </c>
      <c r="B396" s="210"/>
      <c r="C396" s="211"/>
      <c r="D396" s="211" t="str">
        <f t="shared" si="12"/>
        <v/>
      </c>
      <c r="E396" s="210" t="str">
        <f t="shared" si="13"/>
        <v/>
      </c>
      <c r="F396" s="210"/>
      <c r="G396" s="210"/>
      <c r="H396" s="210"/>
      <c r="I396" s="210"/>
      <c r="J396" s="210"/>
      <c r="K396" s="210"/>
      <c r="L396" s="210"/>
      <c r="M396" s="210"/>
      <c r="N396" s="210"/>
      <c r="O396" s="196"/>
    </row>
    <row r="397" spans="1:15" s="212" customFormat="1" ht="15.75">
      <c r="A397" s="209" t="str">
        <f ca="1">IF(ISNA(VLOOKUP(D397,'Standard Smelter Names'!$B$3:$E$165,4,FALSE)),"",VLOOKUP(D397,'Standard Smelter Names'!$B$3:$E$165,4,FALSE))</f>
        <v/>
      </c>
      <c r="B397" s="210"/>
      <c r="C397" s="211"/>
      <c r="D397" s="211" t="str">
        <f t="shared" si="12"/>
        <v/>
      </c>
      <c r="E397" s="210" t="str">
        <f t="shared" si="13"/>
        <v/>
      </c>
      <c r="F397" s="210"/>
      <c r="G397" s="210"/>
      <c r="H397" s="210"/>
      <c r="I397" s="210"/>
      <c r="J397" s="210"/>
      <c r="K397" s="210"/>
      <c r="L397" s="210"/>
      <c r="M397" s="210"/>
      <c r="N397" s="210"/>
      <c r="O397" s="196"/>
    </row>
    <row r="398" spans="1:15" s="212" customFormat="1" ht="15.75">
      <c r="A398" s="209" t="str">
        <f ca="1">IF(ISNA(VLOOKUP(D398,'Standard Smelter Names'!$B$3:$E$165,4,FALSE)),"",VLOOKUP(D398,'Standard Smelter Names'!$B$3:$E$165,4,FALSE))</f>
        <v/>
      </c>
      <c r="B398" s="210"/>
      <c r="C398" s="211"/>
      <c r="D398" s="211" t="str">
        <f t="shared" si="12"/>
        <v/>
      </c>
      <c r="E398" s="210" t="str">
        <f t="shared" si="13"/>
        <v/>
      </c>
      <c r="F398" s="210"/>
      <c r="G398" s="210"/>
      <c r="H398" s="210"/>
      <c r="I398" s="210"/>
      <c r="J398" s="210"/>
      <c r="K398" s="210"/>
      <c r="L398" s="210"/>
      <c r="M398" s="210"/>
      <c r="N398" s="210"/>
      <c r="O398" s="196"/>
    </row>
    <row r="399" spans="1:15" s="212" customFormat="1" ht="15.75">
      <c r="A399" s="209" t="str">
        <f ca="1">IF(ISNA(VLOOKUP(D399,'Standard Smelter Names'!$B$3:$E$165,4,FALSE)),"",VLOOKUP(D399,'Standard Smelter Names'!$B$3:$E$165,4,FALSE))</f>
        <v/>
      </c>
      <c r="B399" s="210"/>
      <c r="C399" s="211"/>
      <c r="D399" s="211" t="str">
        <f t="shared" si="12"/>
        <v/>
      </c>
      <c r="E399" s="210" t="str">
        <f t="shared" si="13"/>
        <v/>
      </c>
      <c r="F399" s="210"/>
      <c r="G399" s="210"/>
      <c r="H399" s="210"/>
      <c r="I399" s="210"/>
      <c r="J399" s="210"/>
      <c r="K399" s="210"/>
      <c r="L399" s="210"/>
      <c r="M399" s="210"/>
      <c r="N399" s="210"/>
      <c r="O399" s="196"/>
    </row>
    <row r="400" spans="1:15" s="212" customFormat="1" ht="15.75">
      <c r="A400" s="209" t="str">
        <f ca="1">IF(ISNA(VLOOKUP(D400,'Standard Smelter Names'!$B$3:$E$165,4,FALSE)),"",VLOOKUP(D400,'Standard Smelter Names'!$B$3:$E$165,4,FALSE))</f>
        <v/>
      </c>
      <c r="B400" s="210"/>
      <c r="C400" s="211"/>
      <c r="D400" s="211" t="str">
        <f t="shared" si="12"/>
        <v/>
      </c>
      <c r="E400" s="210" t="str">
        <f t="shared" si="13"/>
        <v/>
      </c>
      <c r="F400" s="210"/>
      <c r="G400" s="210"/>
      <c r="H400" s="210"/>
      <c r="I400" s="210"/>
      <c r="J400" s="210"/>
      <c r="K400" s="210"/>
      <c r="L400" s="210"/>
      <c r="M400" s="210"/>
      <c r="N400" s="210"/>
      <c r="O400" s="196"/>
    </row>
    <row r="401" spans="1:15" s="212" customFormat="1" ht="15.75">
      <c r="A401" s="209" t="str">
        <f ca="1">IF(ISNA(VLOOKUP(D401,'Standard Smelter Names'!$B$3:$E$165,4,FALSE)),"",VLOOKUP(D401,'Standard Smelter Names'!$B$3:$E$165,4,FALSE))</f>
        <v/>
      </c>
      <c r="B401" s="210"/>
      <c r="C401" s="211"/>
      <c r="D401" s="211" t="str">
        <f t="shared" si="12"/>
        <v/>
      </c>
      <c r="E401" s="210" t="str">
        <f t="shared" si="13"/>
        <v/>
      </c>
      <c r="F401" s="210"/>
      <c r="G401" s="210"/>
      <c r="H401" s="210"/>
      <c r="I401" s="210"/>
      <c r="J401" s="210"/>
      <c r="K401" s="210"/>
      <c r="L401" s="210"/>
      <c r="M401" s="210"/>
      <c r="N401" s="210"/>
      <c r="O401" s="196"/>
    </row>
    <row r="402" spans="1:15" s="212" customFormat="1" ht="15.75">
      <c r="A402" s="209" t="str">
        <f ca="1">IF(ISNA(VLOOKUP(D402,'Standard Smelter Names'!$B$3:$E$165,4,FALSE)),"",VLOOKUP(D402,'Standard Smelter Names'!$B$3:$E$165,4,FALSE))</f>
        <v/>
      </c>
      <c r="B402" s="210"/>
      <c r="C402" s="211"/>
      <c r="D402" s="211" t="str">
        <f t="shared" si="12"/>
        <v/>
      </c>
      <c r="E402" s="210" t="str">
        <f t="shared" si="13"/>
        <v/>
      </c>
      <c r="F402" s="210"/>
      <c r="G402" s="210"/>
      <c r="H402" s="210"/>
      <c r="I402" s="210"/>
      <c r="J402" s="210"/>
      <c r="K402" s="210"/>
      <c r="L402" s="210"/>
      <c r="M402" s="210"/>
      <c r="N402" s="210"/>
      <c r="O402" s="196"/>
    </row>
    <row r="403" spans="1:15" s="212" customFormat="1" ht="15.75">
      <c r="A403" s="209" t="str">
        <f ca="1">IF(ISNA(VLOOKUP(D403,'Standard Smelter Names'!$B$3:$E$165,4,FALSE)),"",VLOOKUP(D403,'Standard Smelter Names'!$B$3:$E$165,4,FALSE))</f>
        <v/>
      </c>
      <c r="B403" s="210"/>
      <c r="C403" s="211"/>
      <c r="D403" s="211" t="str">
        <f t="shared" si="12"/>
        <v/>
      </c>
      <c r="E403" s="210" t="str">
        <f t="shared" si="13"/>
        <v/>
      </c>
      <c r="F403" s="210"/>
      <c r="G403" s="210"/>
      <c r="H403" s="210"/>
      <c r="I403" s="210"/>
      <c r="J403" s="210"/>
      <c r="K403" s="210"/>
      <c r="L403" s="210"/>
      <c r="M403" s="210"/>
      <c r="N403" s="210"/>
      <c r="O403" s="196"/>
    </row>
    <row r="404" spans="1:15" s="212" customFormat="1" ht="15.75">
      <c r="A404" s="209" t="str">
        <f ca="1">IF(ISNA(VLOOKUP(D404,'Standard Smelter Names'!$B$3:$E$165,4,FALSE)),"",VLOOKUP(D404,'Standard Smelter Names'!$B$3:$E$165,4,FALSE))</f>
        <v/>
      </c>
      <c r="B404" s="210"/>
      <c r="C404" s="211"/>
      <c r="D404" s="211" t="str">
        <f t="shared" si="12"/>
        <v/>
      </c>
      <c r="E404" s="210" t="str">
        <f t="shared" si="13"/>
        <v/>
      </c>
      <c r="F404" s="210"/>
      <c r="G404" s="210"/>
      <c r="H404" s="210"/>
      <c r="I404" s="210"/>
      <c r="J404" s="210"/>
      <c r="K404" s="210"/>
      <c r="L404" s="210"/>
      <c r="M404" s="210"/>
      <c r="N404" s="210"/>
      <c r="O404" s="196"/>
    </row>
    <row r="405" spans="1:15" s="212" customFormat="1" ht="15.75">
      <c r="A405" s="209" t="str">
        <f ca="1">IF(ISNA(VLOOKUP(D405,'Standard Smelter Names'!$B$3:$E$165,4,FALSE)),"",VLOOKUP(D405,'Standard Smelter Names'!$B$3:$E$165,4,FALSE))</f>
        <v/>
      </c>
      <c r="B405" s="210"/>
      <c r="C405" s="211"/>
      <c r="D405" s="211" t="str">
        <f t="shared" si="12"/>
        <v/>
      </c>
      <c r="E405" s="210" t="str">
        <f t="shared" si="13"/>
        <v/>
      </c>
      <c r="F405" s="210"/>
      <c r="G405" s="210"/>
      <c r="H405" s="210"/>
      <c r="I405" s="210"/>
      <c r="J405" s="210"/>
      <c r="K405" s="210"/>
      <c r="L405" s="210"/>
      <c r="M405" s="210"/>
      <c r="N405" s="210"/>
      <c r="O405" s="196"/>
    </row>
    <row r="406" spans="1:15" s="212" customFormat="1" ht="15.75">
      <c r="A406" s="209" t="str">
        <f ca="1">IF(ISNA(VLOOKUP(D406,'Standard Smelter Names'!$B$3:$E$165,4,FALSE)),"",VLOOKUP(D406,'Standard Smelter Names'!$B$3:$E$165,4,FALSE))</f>
        <v/>
      </c>
      <c r="B406" s="210"/>
      <c r="C406" s="211"/>
      <c r="D406" s="211" t="str">
        <f t="shared" si="12"/>
        <v/>
      </c>
      <c r="E406" s="210" t="str">
        <f t="shared" si="13"/>
        <v/>
      </c>
      <c r="F406" s="210"/>
      <c r="G406" s="210"/>
      <c r="H406" s="210"/>
      <c r="I406" s="210"/>
      <c r="J406" s="210"/>
      <c r="K406" s="210"/>
      <c r="L406" s="210"/>
      <c r="M406" s="210"/>
      <c r="N406" s="210"/>
      <c r="O406" s="196"/>
    </row>
    <row r="407" spans="1:15" s="212" customFormat="1" ht="15.75">
      <c r="A407" s="209" t="str">
        <f ca="1">IF(ISNA(VLOOKUP(D407,'Standard Smelter Names'!$B$3:$E$165,4,FALSE)),"",VLOOKUP(D407,'Standard Smelter Names'!$B$3:$E$165,4,FALSE))</f>
        <v/>
      </c>
      <c r="B407" s="210"/>
      <c r="C407" s="211"/>
      <c r="D407" s="211" t="str">
        <f t="shared" si="12"/>
        <v/>
      </c>
      <c r="E407" s="210" t="str">
        <f t="shared" si="13"/>
        <v/>
      </c>
      <c r="F407" s="210"/>
      <c r="G407" s="210"/>
      <c r="H407" s="210"/>
      <c r="I407" s="210"/>
      <c r="J407" s="210"/>
      <c r="K407" s="210"/>
      <c r="L407" s="210"/>
      <c r="M407" s="210"/>
      <c r="N407" s="210"/>
      <c r="O407" s="196"/>
    </row>
    <row r="408" spans="1:15" s="212" customFormat="1" ht="15.75">
      <c r="A408" s="209" t="str">
        <f ca="1">IF(ISNA(VLOOKUP(D408,'Standard Smelter Names'!$B$3:$E$165,4,FALSE)),"",VLOOKUP(D408,'Standard Smelter Names'!$B$3:$E$165,4,FALSE))</f>
        <v/>
      </c>
      <c r="B408" s="210"/>
      <c r="C408" s="211"/>
      <c r="D408" s="211" t="str">
        <f t="shared" si="12"/>
        <v/>
      </c>
      <c r="E408" s="210" t="str">
        <f t="shared" si="13"/>
        <v/>
      </c>
      <c r="F408" s="210"/>
      <c r="G408" s="210"/>
      <c r="H408" s="210"/>
      <c r="I408" s="210"/>
      <c r="J408" s="210"/>
      <c r="K408" s="210"/>
      <c r="L408" s="210"/>
      <c r="M408" s="210"/>
      <c r="N408" s="210"/>
      <c r="O408" s="196"/>
    </row>
    <row r="409" spans="1:15" s="212" customFormat="1" ht="15.75">
      <c r="A409" s="209" t="str">
        <f ca="1">IF(ISNA(VLOOKUP(D409,'Standard Smelter Names'!$B$3:$E$165,4,FALSE)),"",VLOOKUP(D409,'Standard Smelter Names'!$B$3:$E$165,4,FALSE))</f>
        <v/>
      </c>
      <c r="B409" s="210"/>
      <c r="C409" s="211"/>
      <c r="D409" s="211" t="str">
        <f t="shared" si="12"/>
        <v/>
      </c>
      <c r="E409" s="210" t="str">
        <f t="shared" si="13"/>
        <v/>
      </c>
      <c r="F409" s="210"/>
      <c r="G409" s="210"/>
      <c r="H409" s="210"/>
      <c r="I409" s="210"/>
      <c r="J409" s="210"/>
      <c r="K409" s="210"/>
      <c r="L409" s="210"/>
      <c r="M409" s="210"/>
      <c r="N409" s="210"/>
      <c r="O409" s="196"/>
    </row>
    <row r="410" spans="1:15" s="212" customFormat="1" ht="15.75">
      <c r="A410" s="209" t="str">
        <f ca="1">IF(ISNA(VLOOKUP(D410,'Standard Smelter Names'!$B$3:$E$165,4,FALSE)),"",VLOOKUP(D410,'Standard Smelter Names'!$B$3:$E$165,4,FALSE))</f>
        <v/>
      </c>
      <c r="B410" s="210"/>
      <c r="C410" s="211"/>
      <c r="D410" s="211" t="str">
        <f t="shared" si="12"/>
        <v/>
      </c>
      <c r="E410" s="210" t="str">
        <f t="shared" si="13"/>
        <v/>
      </c>
      <c r="F410" s="210"/>
      <c r="G410" s="210"/>
      <c r="H410" s="210"/>
      <c r="I410" s="210"/>
      <c r="J410" s="210"/>
      <c r="K410" s="210"/>
      <c r="L410" s="210"/>
      <c r="M410" s="210"/>
      <c r="N410" s="210"/>
      <c r="O410" s="196"/>
    </row>
    <row r="411" spans="1:15" s="212" customFormat="1" ht="15.75">
      <c r="A411" s="209" t="str">
        <f ca="1">IF(ISNA(VLOOKUP(D411,'Standard Smelter Names'!$B$3:$E$165,4,FALSE)),"",VLOOKUP(D411,'Standard Smelter Names'!$B$3:$E$165,4,FALSE))</f>
        <v/>
      </c>
      <c r="B411" s="210"/>
      <c r="C411" s="211"/>
      <c r="D411" s="211" t="str">
        <f t="shared" si="12"/>
        <v/>
      </c>
      <c r="E411" s="210" t="str">
        <f t="shared" si="13"/>
        <v/>
      </c>
      <c r="F411" s="210"/>
      <c r="G411" s="210"/>
      <c r="H411" s="210"/>
      <c r="I411" s="210"/>
      <c r="J411" s="210"/>
      <c r="K411" s="210"/>
      <c r="L411" s="210"/>
      <c r="M411" s="210"/>
      <c r="N411" s="210"/>
      <c r="O411" s="196"/>
    </row>
    <row r="412" spans="1:15" s="212" customFormat="1" ht="15.75">
      <c r="A412" s="209" t="str">
        <f ca="1">IF(ISNA(VLOOKUP(D412,'Standard Smelter Names'!$B$3:$E$165,4,FALSE)),"",VLOOKUP(D412,'Standard Smelter Names'!$B$3:$E$165,4,FALSE))</f>
        <v/>
      </c>
      <c r="B412" s="210"/>
      <c r="C412" s="211"/>
      <c r="D412" s="211" t="str">
        <f t="shared" si="12"/>
        <v/>
      </c>
      <c r="E412" s="210" t="str">
        <f t="shared" si="13"/>
        <v/>
      </c>
      <c r="F412" s="210"/>
      <c r="G412" s="210"/>
      <c r="H412" s="210"/>
      <c r="I412" s="210"/>
      <c r="J412" s="210"/>
      <c r="K412" s="210"/>
      <c r="L412" s="210"/>
      <c r="M412" s="210"/>
      <c r="N412" s="210"/>
      <c r="O412" s="196"/>
    </row>
    <row r="413" spans="1:15" s="212" customFormat="1" ht="15.75">
      <c r="A413" s="209" t="str">
        <f ca="1">IF(ISNA(VLOOKUP(D413,'Standard Smelter Names'!$B$3:$E$165,4,FALSE)),"",VLOOKUP(D413,'Standard Smelter Names'!$B$3:$E$165,4,FALSE))</f>
        <v/>
      </c>
      <c r="B413" s="210"/>
      <c r="C413" s="211"/>
      <c r="D413" s="211" t="str">
        <f t="shared" si="12"/>
        <v/>
      </c>
      <c r="E413" s="210" t="str">
        <f t="shared" si="13"/>
        <v/>
      </c>
      <c r="F413" s="210"/>
      <c r="G413" s="210"/>
      <c r="H413" s="210"/>
      <c r="I413" s="210"/>
      <c r="J413" s="210"/>
      <c r="K413" s="210"/>
      <c r="L413" s="210"/>
      <c r="M413" s="210"/>
      <c r="N413" s="210"/>
      <c r="O413" s="196"/>
    </row>
    <row r="414" spans="1:15" s="212" customFormat="1" ht="15.75">
      <c r="A414" s="209" t="str">
        <f ca="1">IF(ISNA(VLOOKUP(D414,'Standard Smelter Names'!$B$3:$E$165,4,FALSE)),"",VLOOKUP(D414,'Standard Smelter Names'!$B$3:$E$165,4,FALSE))</f>
        <v/>
      </c>
      <c r="B414" s="210"/>
      <c r="C414" s="211"/>
      <c r="D414" s="211" t="str">
        <f t="shared" si="12"/>
        <v/>
      </c>
      <c r="E414" s="210" t="str">
        <f t="shared" si="13"/>
        <v/>
      </c>
      <c r="F414" s="210"/>
      <c r="G414" s="210"/>
      <c r="H414" s="210"/>
      <c r="I414" s="210"/>
      <c r="J414" s="210"/>
      <c r="K414" s="210"/>
      <c r="L414" s="210"/>
      <c r="M414" s="210"/>
      <c r="N414" s="210"/>
      <c r="O414" s="196"/>
    </row>
    <row r="415" spans="1:15" s="212" customFormat="1" ht="15.75">
      <c r="A415" s="209" t="str">
        <f ca="1">IF(ISNA(VLOOKUP(D415,'Standard Smelter Names'!$B$3:$E$165,4,FALSE)),"",VLOOKUP(D415,'Standard Smelter Names'!$B$3:$E$165,4,FALSE))</f>
        <v/>
      </c>
      <c r="B415" s="210"/>
      <c r="C415" s="211"/>
      <c r="D415" s="211" t="str">
        <f t="shared" si="12"/>
        <v/>
      </c>
      <c r="E415" s="210" t="str">
        <f t="shared" si="13"/>
        <v/>
      </c>
      <c r="F415" s="210"/>
      <c r="G415" s="210"/>
      <c r="H415" s="210"/>
      <c r="I415" s="210"/>
      <c r="J415" s="210"/>
      <c r="K415" s="210"/>
      <c r="L415" s="210"/>
      <c r="M415" s="210"/>
      <c r="N415" s="210"/>
      <c r="O415" s="196"/>
    </row>
    <row r="416" spans="1:15" s="212" customFormat="1" ht="15.75">
      <c r="A416" s="209" t="str">
        <f ca="1">IF(ISNA(VLOOKUP(D416,'Standard Smelter Names'!$B$3:$E$165,4,FALSE)),"",VLOOKUP(D416,'Standard Smelter Names'!$B$3:$E$165,4,FALSE))</f>
        <v/>
      </c>
      <c r="B416" s="210"/>
      <c r="C416" s="211"/>
      <c r="D416" s="211" t="str">
        <f t="shared" si="12"/>
        <v/>
      </c>
      <c r="E416" s="210" t="str">
        <f t="shared" si="13"/>
        <v/>
      </c>
      <c r="F416" s="210"/>
      <c r="G416" s="210"/>
      <c r="H416" s="210"/>
      <c r="I416" s="210"/>
      <c r="J416" s="210"/>
      <c r="K416" s="210"/>
      <c r="L416" s="210"/>
      <c r="M416" s="210"/>
      <c r="N416" s="210"/>
      <c r="O416" s="196"/>
    </row>
    <row r="417" spans="1:15" s="212" customFormat="1" ht="15.75">
      <c r="A417" s="209" t="str">
        <f ca="1">IF(ISNA(VLOOKUP(D417,'Standard Smelter Names'!$B$3:$E$165,4,FALSE)),"",VLOOKUP(D417,'Standard Smelter Names'!$B$3:$E$165,4,FALSE))</f>
        <v/>
      </c>
      <c r="B417" s="210"/>
      <c r="C417" s="211"/>
      <c r="D417" s="211" t="str">
        <f t="shared" si="12"/>
        <v/>
      </c>
      <c r="E417" s="210" t="str">
        <f t="shared" si="13"/>
        <v/>
      </c>
      <c r="F417" s="210"/>
      <c r="G417" s="210"/>
      <c r="H417" s="210"/>
      <c r="I417" s="210"/>
      <c r="J417" s="210"/>
      <c r="K417" s="210"/>
      <c r="L417" s="210"/>
      <c r="M417" s="210"/>
      <c r="N417" s="210"/>
      <c r="O417" s="196"/>
    </row>
    <row r="418" spans="1:15" s="212" customFormat="1" ht="15.75">
      <c r="A418" s="209" t="str">
        <f ca="1">IF(ISNA(VLOOKUP(D418,'Standard Smelter Names'!$B$3:$E$165,4,FALSE)),"",VLOOKUP(D418,'Standard Smelter Names'!$B$3:$E$165,4,FALSE))</f>
        <v/>
      </c>
      <c r="B418" s="210"/>
      <c r="C418" s="211"/>
      <c r="D418" s="211" t="str">
        <f t="shared" si="12"/>
        <v/>
      </c>
      <c r="E418" s="210" t="str">
        <f t="shared" si="13"/>
        <v/>
      </c>
      <c r="F418" s="210"/>
      <c r="G418" s="210"/>
      <c r="H418" s="210"/>
      <c r="I418" s="210"/>
      <c r="J418" s="210"/>
      <c r="K418" s="210"/>
      <c r="L418" s="210"/>
      <c r="M418" s="210"/>
      <c r="N418" s="210"/>
      <c r="O418" s="196"/>
    </row>
    <row r="419" spans="1:15" s="212" customFormat="1" ht="15.75">
      <c r="A419" s="209" t="str">
        <f ca="1">IF(ISNA(VLOOKUP(D419,'Standard Smelter Names'!$B$3:$E$165,4,FALSE)),"",VLOOKUP(D419,'Standard Smelter Names'!$B$3:$E$165,4,FALSE))</f>
        <v/>
      </c>
      <c r="B419" s="210"/>
      <c r="C419" s="211"/>
      <c r="D419" s="211" t="str">
        <f t="shared" si="12"/>
        <v/>
      </c>
      <c r="E419" s="210" t="str">
        <f t="shared" si="13"/>
        <v/>
      </c>
      <c r="F419" s="210"/>
      <c r="G419" s="210"/>
      <c r="H419" s="210"/>
      <c r="I419" s="210"/>
      <c r="J419" s="210"/>
      <c r="K419" s="210"/>
      <c r="L419" s="210"/>
      <c r="M419" s="210"/>
      <c r="N419" s="210"/>
      <c r="O419" s="196"/>
    </row>
    <row r="420" spans="1:15" s="212" customFormat="1" ht="15.75">
      <c r="A420" s="209" t="str">
        <f ca="1">IF(ISNA(VLOOKUP(D420,'Standard Smelter Names'!$B$3:$E$165,4,FALSE)),"",VLOOKUP(D420,'Standard Smelter Names'!$B$3:$E$165,4,FALSE))</f>
        <v/>
      </c>
      <c r="B420" s="210"/>
      <c r="C420" s="211"/>
      <c r="D420" s="211" t="str">
        <f t="shared" si="12"/>
        <v/>
      </c>
      <c r="E420" s="210" t="str">
        <f t="shared" si="13"/>
        <v/>
      </c>
      <c r="F420" s="210"/>
      <c r="G420" s="210"/>
      <c r="H420" s="210"/>
      <c r="I420" s="210"/>
      <c r="J420" s="210"/>
      <c r="K420" s="210"/>
      <c r="L420" s="210"/>
      <c r="M420" s="210"/>
      <c r="N420" s="210"/>
      <c r="O420" s="196"/>
    </row>
    <row r="421" spans="1:15" s="212" customFormat="1" ht="15.75">
      <c r="A421" s="209" t="str">
        <f ca="1">IF(ISNA(VLOOKUP(D421,'Standard Smelter Names'!$B$3:$E$165,4,FALSE)),"",VLOOKUP(D421,'Standard Smelter Names'!$B$3:$E$165,4,FALSE))</f>
        <v/>
      </c>
      <c r="B421" s="210"/>
      <c r="C421" s="211"/>
      <c r="D421" s="211" t="str">
        <f t="shared" si="12"/>
        <v/>
      </c>
      <c r="E421" s="210" t="str">
        <f t="shared" si="13"/>
        <v/>
      </c>
      <c r="F421" s="210"/>
      <c r="G421" s="210"/>
      <c r="H421" s="210"/>
      <c r="I421" s="210"/>
      <c r="J421" s="210"/>
      <c r="K421" s="210"/>
      <c r="L421" s="210"/>
      <c r="M421" s="210"/>
      <c r="N421" s="210"/>
      <c r="O421" s="196"/>
    </row>
    <row r="422" spans="1:15" s="212" customFormat="1" ht="15.75">
      <c r="A422" s="209" t="str">
        <f ca="1">IF(ISNA(VLOOKUP(D422,'Standard Smelter Names'!$B$3:$E$165,4,FALSE)),"",VLOOKUP(D422,'Standard Smelter Names'!$B$3:$E$165,4,FALSE))</f>
        <v/>
      </c>
      <c r="B422" s="210"/>
      <c r="C422" s="211"/>
      <c r="D422" s="211" t="str">
        <f t="shared" si="12"/>
        <v/>
      </c>
      <c r="E422" s="210" t="str">
        <f t="shared" si="13"/>
        <v/>
      </c>
      <c r="F422" s="210"/>
      <c r="G422" s="210"/>
      <c r="H422" s="210"/>
      <c r="I422" s="210"/>
      <c r="J422" s="210"/>
      <c r="K422" s="210"/>
      <c r="L422" s="210"/>
      <c r="M422" s="210"/>
      <c r="N422" s="210"/>
      <c r="O422" s="196"/>
    </row>
    <row r="423" spans="1:15" s="212" customFormat="1" ht="15.75">
      <c r="A423" s="209" t="str">
        <f ca="1">IF(ISNA(VLOOKUP(D423,'Standard Smelter Names'!$B$3:$E$165,4,FALSE)),"",VLOOKUP(D423,'Standard Smelter Names'!$B$3:$E$165,4,FALSE))</f>
        <v/>
      </c>
      <c r="B423" s="210"/>
      <c r="C423" s="211"/>
      <c r="D423" s="211" t="str">
        <f t="shared" si="12"/>
        <v/>
      </c>
      <c r="E423" s="210" t="str">
        <f t="shared" si="13"/>
        <v/>
      </c>
      <c r="F423" s="210"/>
      <c r="G423" s="210"/>
      <c r="H423" s="210"/>
      <c r="I423" s="210"/>
      <c r="J423" s="210"/>
      <c r="K423" s="210"/>
      <c r="L423" s="210"/>
      <c r="M423" s="210"/>
      <c r="N423" s="210"/>
      <c r="O423" s="196"/>
    </row>
    <row r="424" spans="1:15" s="212" customFormat="1" ht="15.75">
      <c r="A424" s="209" t="str">
        <f ca="1">IF(ISNA(VLOOKUP(D424,'Standard Smelter Names'!$B$3:$E$165,4,FALSE)),"",VLOOKUP(D424,'Standard Smelter Names'!$B$3:$E$165,4,FALSE))</f>
        <v/>
      </c>
      <c r="B424" s="210"/>
      <c r="C424" s="211"/>
      <c r="D424" s="211" t="str">
        <f t="shared" si="12"/>
        <v/>
      </c>
      <c r="E424" s="210" t="str">
        <f t="shared" si="13"/>
        <v/>
      </c>
      <c r="F424" s="210"/>
      <c r="G424" s="210"/>
      <c r="H424" s="210"/>
      <c r="I424" s="210"/>
      <c r="J424" s="210"/>
      <c r="K424" s="210"/>
      <c r="L424" s="210"/>
      <c r="M424" s="210"/>
      <c r="N424" s="210"/>
      <c r="O424" s="196"/>
    </row>
    <row r="425" spans="1:15" s="212" customFormat="1" ht="15.75">
      <c r="A425" s="209" t="str">
        <f ca="1">IF(ISNA(VLOOKUP(D425,'Standard Smelter Names'!$B$3:$E$165,4,FALSE)),"",VLOOKUP(D425,'Standard Smelter Names'!$B$3:$E$165,4,FALSE))</f>
        <v/>
      </c>
      <c r="B425" s="210"/>
      <c r="C425" s="211"/>
      <c r="D425" s="211" t="str">
        <f t="shared" si="12"/>
        <v/>
      </c>
      <c r="E425" s="210" t="str">
        <f t="shared" si="13"/>
        <v/>
      </c>
      <c r="F425" s="210"/>
      <c r="G425" s="210"/>
      <c r="H425" s="210"/>
      <c r="I425" s="210"/>
      <c r="J425" s="210"/>
      <c r="K425" s="210"/>
      <c r="L425" s="210"/>
      <c r="M425" s="210"/>
      <c r="N425" s="210"/>
      <c r="O425" s="196"/>
    </row>
    <row r="426" spans="1:15" s="212" customFormat="1" ht="15.75">
      <c r="A426" s="209" t="str">
        <f ca="1">IF(ISNA(VLOOKUP(D426,'Standard Smelter Names'!$B$3:$E$165,4,FALSE)),"",VLOOKUP(D426,'Standard Smelter Names'!$B$3:$E$165,4,FALSE))</f>
        <v/>
      </c>
      <c r="B426" s="210"/>
      <c r="C426" s="211"/>
      <c r="D426" s="211" t="str">
        <f t="shared" si="12"/>
        <v/>
      </c>
      <c r="E426" s="210" t="str">
        <f t="shared" si="13"/>
        <v/>
      </c>
      <c r="F426" s="210"/>
      <c r="G426" s="210"/>
      <c r="H426" s="210"/>
      <c r="I426" s="210"/>
      <c r="J426" s="210"/>
      <c r="K426" s="210"/>
      <c r="L426" s="210"/>
      <c r="M426" s="210"/>
      <c r="N426" s="210"/>
      <c r="O426" s="196"/>
    </row>
    <row r="427" spans="1:15" s="212" customFormat="1" ht="15.75">
      <c r="A427" s="209" t="str">
        <f ca="1">IF(ISNA(VLOOKUP(D427,'Standard Smelter Names'!$B$3:$E$165,4,FALSE)),"",VLOOKUP(D427,'Standard Smelter Names'!$B$3:$E$165,4,FALSE))</f>
        <v/>
      </c>
      <c r="B427" s="210"/>
      <c r="C427" s="211"/>
      <c r="D427" s="211" t="str">
        <f t="shared" si="12"/>
        <v/>
      </c>
      <c r="E427" s="210" t="str">
        <f t="shared" si="13"/>
        <v/>
      </c>
      <c r="F427" s="210"/>
      <c r="G427" s="210"/>
      <c r="H427" s="210"/>
      <c r="I427" s="210"/>
      <c r="J427" s="210"/>
      <c r="K427" s="210"/>
      <c r="L427" s="210"/>
      <c r="M427" s="210"/>
      <c r="N427" s="210"/>
      <c r="O427" s="196"/>
    </row>
    <row r="428" spans="1:15" s="212" customFormat="1" ht="15.75">
      <c r="A428" s="209" t="str">
        <f ca="1">IF(ISNA(VLOOKUP(D428,'Standard Smelter Names'!$B$3:$E$165,4,FALSE)),"",VLOOKUP(D428,'Standard Smelter Names'!$B$3:$E$165,4,FALSE))</f>
        <v/>
      </c>
      <c r="B428" s="210"/>
      <c r="C428" s="211"/>
      <c r="D428" s="211" t="str">
        <f t="shared" si="12"/>
        <v/>
      </c>
      <c r="E428" s="210" t="str">
        <f t="shared" si="13"/>
        <v/>
      </c>
      <c r="F428" s="210"/>
      <c r="G428" s="210"/>
      <c r="H428" s="210"/>
      <c r="I428" s="210"/>
      <c r="J428" s="210"/>
      <c r="K428" s="210"/>
      <c r="L428" s="210"/>
      <c r="M428" s="210"/>
      <c r="N428" s="210"/>
      <c r="O428" s="196"/>
    </row>
    <row r="429" spans="1:15" s="212" customFormat="1" ht="15.75">
      <c r="A429" s="209" t="str">
        <f ca="1">IF(ISNA(VLOOKUP(D429,'Standard Smelter Names'!$B$3:$E$165,4,FALSE)),"",VLOOKUP(D429,'Standard Smelter Names'!$B$3:$E$165,4,FALSE))</f>
        <v/>
      </c>
      <c r="B429" s="210"/>
      <c r="C429" s="211"/>
      <c r="D429" s="211" t="str">
        <f t="shared" si="12"/>
        <v/>
      </c>
      <c r="E429" s="210" t="str">
        <f t="shared" si="13"/>
        <v/>
      </c>
      <c r="F429" s="210"/>
      <c r="G429" s="210"/>
      <c r="H429" s="210"/>
      <c r="I429" s="210"/>
      <c r="J429" s="210"/>
      <c r="K429" s="210"/>
      <c r="L429" s="210"/>
      <c r="M429" s="210"/>
      <c r="N429" s="210"/>
      <c r="O429" s="196"/>
    </row>
    <row r="430" spans="1:15" s="212" customFormat="1" ht="15.75">
      <c r="A430" s="209" t="str">
        <f ca="1">IF(ISNA(VLOOKUP(D430,'Standard Smelter Names'!$B$3:$E$165,4,FALSE)),"",VLOOKUP(D430,'Standard Smelter Names'!$B$3:$E$165,4,FALSE))</f>
        <v/>
      </c>
      <c r="B430" s="210"/>
      <c r="C430" s="211"/>
      <c r="D430" s="211" t="str">
        <f t="shared" si="12"/>
        <v/>
      </c>
      <c r="E430" s="210" t="str">
        <f t="shared" si="13"/>
        <v/>
      </c>
      <c r="F430" s="210"/>
      <c r="G430" s="210"/>
      <c r="H430" s="210"/>
      <c r="I430" s="210"/>
      <c r="J430" s="210"/>
      <c r="K430" s="210"/>
      <c r="L430" s="210"/>
      <c r="M430" s="210"/>
      <c r="N430" s="210"/>
      <c r="O430" s="196"/>
    </row>
    <row r="431" spans="1:15" s="212" customFormat="1" ht="15.75">
      <c r="A431" s="209" t="str">
        <f ca="1">IF(ISNA(VLOOKUP(D431,'Standard Smelter Names'!$B$3:$E$165,4,FALSE)),"",VLOOKUP(D431,'Standard Smelter Names'!$B$3:$E$165,4,FALSE))</f>
        <v/>
      </c>
      <c r="B431" s="210"/>
      <c r="C431" s="211"/>
      <c r="D431" s="211" t="str">
        <f t="shared" si="12"/>
        <v/>
      </c>
      <c r="E431" s="210" t="str">
        <f t="shared" si="13"/>
        <v/>
      </c>
      <c r="F431" s="210"/>
      <c r="G431" s="210"/>
      <c r="H431" s="210"/>
      <c r="I431" s="210"/>
      <c r="J431" s="210"/>
      <c r="K431" s="210"/>
      <c r="L431" s="210"/>
      <c r="M431" s="210"/>
      <c r="N431" s="210"/>
      <c r="O431" s="196"/>
    </row>
    <row r="432" spans="1:15" s="212" customFormat="1" ht="15.75">
      <c r="A432" s="209" t="str">
        <f ca="1">IF(ISNA(VLOOKUP(D432,'Standard Smelter Names'!$B$3:$E$165,4,FALSE)),"",VLOOKUP(D432,'Standard Smelter Names'!$B$3:$E$165,4,FALSE))</f>
        <v/>
      </c>
      <c r="B432" s="210"/>
      <c r="C432" s="211"/>
      <c r="D432" s="211" t="str">
        <f t="shared" si="12"/>
        <v/>
      </c>
      <c r="E432" s="210" t="str">
        <f t="shared" si="13"/>
        <v/>
      </c>
      <c r="F432" s="210"/>
      <c r="G432" s="210"/>
      <c r="H432" s="210"/>
      <c r="I432" s="210"/>
      <c r="J432" s="210"/>
      <c r="K432" s="210"/>
      <c r="L432" s="210"/>
      <c r="M432" s="210"/>
      <c r="N432" s="210"/>
      <c r="O432" s="196"/>
    </row>
    <row r="433" spans="1:15" s="212" customFormat="1" ht="15.75">
      <c r="A433" s="209" t="str">
        <f ca="1">IF(ISNA(VLOOKUP(D433,'Standard Smelter Names'!$B$3:$E$165,4,FALSE)),"",VLOOKUP(D433,'Standard Smelter Names'!$B$3:$E$165,4,FALSE))</f>
        <v/>
      </c>
      <c r="B433" s="210"/>
      <c r="C433" s="211"/>
      <c r="D433" s="211" t="str">
        <f t="shared" si="12"/>
        <v/>
      </c>
      <c r="E433" s="210" t="str">
        <f t="shared" si="13"/>
        <v/>
      </c>
      <c r="F433" s="210"/>
      <c r="G433" s="210"/>
      <c r="H433" s="210"/>
      <c r="I433" s="210"/>
      <c r="J433" s="210"/>
      <c r="K433" s="210"/>
      <c r="L433" s="210"/>
      <c r="M433" s="210"/>
      <c r="N433" s="210"/>
      <c r="O433" s="196"/>
    </row>
    <row r="434" spans="1:15" s="212" customFormat="1" ht="15.75">
      <c r="A434" s="209" t="str">
        <f ca="1">IF(ISNA(VLOOKUP(D434,'Standard Smelter Names'!$B$3:$E$165,4,FALSE)),"",VLOOKUP(D434,'Standard Smelter Names'!$B$3:$E$165,4,FALSE))</f>
        <v/>
      </c>
      <c r="B434" s="210"/>
      <c r="C434" s="211"/>
      <c r="D434" s="211" t="str">
        <f t="shared" si="12"/>
        <v/>
      </c>
      <c r="E434" s="210" t="str">
        <f t="shared" si="13"/>
        <v/>
      </c>
      <c r="F434" s="210"/>
      <c r="G434" s="210"/>
      <c r="H434" s="210"/>
      <c r="I434" s="210"/>
      <c r="J434" s="210"/>
      <c r="K434" s="210"/>
      <c r="L434" s="210"/>
      <c r="M434" s="210"/>
      <c r="N434" s="210"/>
      <c r="O434" s="196"/>
    </row>
    <row r="435" spans="1:15" s="212" customFormat="1" ht="15.75">
      <c r="A435" s="209" t="str">
        <f ca="1">IF(ISNA(VLOOKUP(D435,'Standard Smelter Names'!$B$3:$E$165,4,FALSE)),"",VLOOKUP(D435,'Standard Smelter Names'!$B$3:$E$165,4,FALSE))</f>
        <v/>
      </c>
      <c r="B435" s="210"/>
      <c r="C435" s="211"/>
      <c r="D435" s="211" t="str">
        <f t="shared" si="12"/>
        <v/>
      </c>
      <c r="E435" s="210" t="str">
        <f t="shared" si="13"/>
        <v/>
      </c>
      <c r="F435" s="210"/>
      <c r="G435" s="210"/>
      <c r="H435" s="210"/>
      <c r="I435" s="210"/>
      <c r="J435" s="210"/>
      <c r="K435" s="210"/>
      <c r="L435" s="210"/>
      <c r="M435" s="210"/>
      <c r="N435" s="210"/>
      <c r="O435" s="196"/>
    </row>
    <row r="436" spans="1:15" s="212" customFormat="1" ht="15.75">
      <c r="A436" s="209" t="str">
        <f ca="1">IF(ISNA(VLOOKUP(D436,'Standard Smelter Names'!$B$3:$E$165,4,FALSE)),"",VLOOKUP(D436,'Standard Smelter Names'!$B$3:$E$165,4,FALSE))</f>
        <v/>
      </c>
      <c r="B436" s="210"/>
      <c r="C436" s="211"/>
      <c r="D436" s="211" t="str">
        <f t="shared" si="12"/>
        <v/>
      </c>
      <c r="E436" s="210" t="str">
        <f t="shared" si="13"/>
        <v/>
      </c>
      <c r="F436" s="210"/>
      <c r="G436" s="210"/>
      <c r="H436" s="210"/>
      <c r="I436" s="210"/>
      <c r="J436" s="210"/>
      <c r="K436" s="210"/>
      <c r="L436" s="210"/>
      <c r="M436" s="210"/>
      <c r="N436" s="210"/>
      <c r="O436" s="196"/>
    </row>
    <row r="437" spans="1:15" s="212" customFormat="1" ht="15.75">
      <c r="A437" s="209" t="str">
        <f ca="1">IF(ISNA(VLOOKUP(D437,'Standard Smelter Names'!$B$3:$E$165,4,FALSE)),"",VLOOKUP(D437,'Standard Smelter Names'!$B$3:$E$165,4,FALSE))</f>
        <v/>
      </c>
      <c r="B437" s="210"/>
      <c r="C437" s="211"/>
      <c r="D437" s="211" t="str">
        <f t="shared" si="12"/>
        <v/>
      </c>
      <c r="E437" s="210" t="str">
        <f t="shared" si="13"/>
        <v/>
      </c>
      <c r="F437" s="210"/>
      <c r="G437" s="210"/>
      <c r="H437" s="210"/>
      <c r="I437" s="210"/>
      <c r="J437" s="210"/>
      <c r="K437" s="210"/>
      <c r="L437" s="210"/>
      <c r="M437" s="210"/>
      <c r="N437" s="210"/>
      <c r="O437" s="196"/>
    </row>
    <row r="438" spans="1:15" s="212" customFormat="1" ht="15.75">
      <c r="A438" s="209" t="str">
        <f ca="1">IF(ISNA(VLOOKUP(D438,'Standard Smelter Names'!$B$3:$E$165,4,FALSE)),"",VLOOKUP(D438,'Standard Smelter Names'!$B$3:$E$165,4,FALSE))</f>
        <v/>
      </c>
      <c r="B438" s="210"/>
      <c r="C438" s="211"/>
      <c r="D438" s="211" t="str">
        <f t="shared" si="12"/>
        <v/>
      </c>
      <c r="E438" s="210" t="str">
        <f t="shared" si="13"/>
        <v/>
      </c>
      <c r="F438" s="210"/>
      <c r="G438" s="210"/>
      <c r="H438" s="210"/>
      <c r="I438" s="210"/>
      <c r="J438" s="210"/>
      <c r="K438" s="210"/>
      <c r="L438" s="210"/>
      <c r="M438" s="210"/>
      <c r="N438" s="210"/>
      <c r="O438" s="196"/>
    </row>
    <row r="439" spans="1:15" s="212" customFormat="1" ht="15.75">
      <c r="A439" s="209" t="str">
        <f ca="1">IF(ISNA(VLOOKUP(D439,'Standard Smelter Names'!$B$3:$E$165,4,FALSE)),"",VLOOKUP(D439,'Standard Smelter Names'!$B$3:$E$165,4,FALSE))</f>
        <v/>
      </c>
      <c r="B439" s="210"/>
      <c r="C439" s="211"/>
      <c r="D439" s="211" t="str">
        <f t="shared" si="12"/>
        <v/>
      </c>
      <c r="E439" s="210" t="str">
        <f t="shared" si="13"/>
        <v/>
      </c>
      <c r="F439" s="210"/>
      <c r="G439" s="210"/>
      <c r="H439" s="210"/>
      <c r="I439" s="210"/>
      <c r="J439" s="210"/>
      <c r="K439" s="210"/>
      <c r="L439" s="210"/>
      <c r="M439" s="210"/>
      <c r="N439" s="210"/>
      <c r="O439" s="196"/>
    </row>
    <row r="440" spans="1:15" s="212" customFormat="1" ht="15.75">
      <c r="A440" s="209" t="str">
        <f ca="1">IF(ISNA(VLOOKUP(D440,'Standard Smelter Names'!$B$3:$E$165,4,FALSE)),"",VLOOKUP(D440,'Standard Smelter Names'!$B$3:$E$165,4,FALSE))</f>
        <v/>
      </c>
      <c r="B440" s="210"/>
      <c r="C440" s="211"/>
      <c r="D440" s="211" t="str">
        <f t="shared" si="12"/>
        <v/>
      </c>
      <c r="E440" s="210" t="str">
        <f t="shared" si="13"/>
        <v/>
      </c>
      <c r="F440" s="210"/>
      <c r="G440" s="210"/>
      <c r="H440" s="210"/>
      <c r="I440" s="210"/>
      <c r="J440" s="210"/>
      <c r="K440" s="210"/>
      <c r="L440" s="210"/>
      <c r="M440" s="210"/>
      <c r="N440" s="210"/>
      <c r="O440" s="196"/>
    </row>
    <row r="441" spans="1:15" s="212" customFormat="1" ht="15.75">
      <c r="A441" s="209" t="str">
        <f ca="1">IF(ISNA(VLOOKUP(D441,'Standard Smelter Names'!$B$3:$E$165,4,FALSE)),"",VLOOKUP(D441,'Standard Smelter Names'!$B$3:$E$165,4,FALSE))</f>
        <v/>
      </c>
      <c r="B441" s="210"/>
      <c r="C441" s="211"/>
      <c r="D441" s="211" t="str">
        <f t="shared" si="12"/>
        <v/>
      </c>
      <c r="E441" s="210" t="str">
        <f t="shared" si="13"/>
        <v/>
      </c>
      <c r="F441" s="210"/>
      <c r="G441" s="210"/>
      <c r="H441" s="210"/>
      <c r="I441" s="210"/>
      <c r="J441" s="210"/>
      <c r="K441" s="210"/>
      <c r="L441" s="210"/>
      <c r="M441" s="210"/>
      <c r="N441" s="210"/>
      <c r="O441" s="196"/>
    </row>
    <row r="442" spans="1:15" s="212" customFormat="1" ht="15.75">
      <c r="A442" s="209" t="str">
        <f ca="1">IF(ISNA(VLOOKUP(D442,'Standard Smelter Names'!$B$3:$E$165,4,FALSE)),"",VLOOKUP(D442,'Standard Smelter Names'!$B$3:$E$165,4,FALSE))</f>
        <v/>
      </c>
      <c r="B442" s="210"/>
      <c r="C442" s="211"/>
      <c r="D442" s="211" t="str">
        <f t="shared" si="12"/>
        <v/>
      </c>
      <c r="E442" s="210" t="str">
        <f t="shared" si="13"/>
        <v/>
      </c>
      <c r="F442" s="210"/>
      <c r="G442" s="210"/>
      <c r="H442" s="210"/>
      <c r="I442" s="210"/>
      <c r="J442" s="210"/>
      <c r="K442" s="210"/>
      <c r="L442" s="210"/>
      <c r="M442" s="210"/>
      <c r="N442" s="210"/>
      <c r="O442" s="196"/>
    </row>
    <row r="443" spans="1:15" s="212" customFormat="1" ht="15.75">
      <c r="A443" s="209" t="str">
        <f ca="1">IF(ISNA(VLOOKUP(D443,'Standard Smelter Names'!$B$3:$E$165,4,FALSE)),"",VLOOKUP(D443,'Standard Smelter Names'!$B$3:$E$165,4,FALSE))</f>
        <v/>
      </c>
      <c r="B443" s="210"/>
      <c r="C443" s="211"/>
      <c r="D443" s="211" t="str">
        <f t="shared" si="12"/>
        <v/>
      </c>
      <c r="E443" s="210" t="str">
        <f t="shared" si="13"/>
        <v/>
      </c>
      <c r="F443" s="210"/>
      <c r="G443" s="210"/>
      <c r="H443" s="210"/>
      <c r="I443" s="210"/>
      <c r="J443" s="210"/>
      <c r="K443" s="210"/>
      <c r="L443" s="210"/>
      <c r="M443" s="210"/>
      <c r="N443" s="210"/>
      <c r="O443" s="196"/>
    </row>
    <row r="444" spans="1:15" s="212" customFormat="1" ht="15.75">
      <c r="A444" s="209" t="str">
        <f ca="1">IF(ISNA(VLOOKUP(D444,'Standard Smelter Names'!$B$3:$E$165,4,FALSE)),"",VLOOKUP(D444,'Standard Smelter Names'!$B$3:$E$165,4,FALSE))</f>
        <v/>
      </c>
      <c r="B444" s="210"/>
      <c r="C444" s="211"/>
      <c r="D444" s="211" t="str">
        <f t="shared" si="12"/>
        <v/>
      </c>
      <c r="E444" s="210" t="str">
        <f t="shared" si="13"/>
        <v/>
      </c>
      <c r="F444" s="210"/>
      <c r="G444" s="210"/>
      <c r="H444" s="210"/>
      <c r="I444" s="210"/>
      <c r="J444" s="210"/>
      <c r="K444" s="210"/>
      <c r="L444" s="210"/>
      <c r="M444" s="210"/>
      <c r="N444" s="210"/>
      <c r="O444" s="196"/>
    </row>
    <row r="445" spans="1:15" s="212" customFormat="1" ht="15.75">
      <c r="A445" s="209" t="str">
        <f ca="1">IF(ISNA(VLOOKUP(D445,'Standard Smelter Names'!$B$3:$E$165,4,FALSE)),"",VLOOKUP(D445,'Standard Smelter Names'!$B$3:$E$165,4,FALSE))</f>
        <v/>
      </c>
      <c r="B445" s="210"/>
      <c r="C445" s="211"/>
      <c r="D445" s="211" t="str">
        <f t="shared" si="12"/>
        <v/>
      </c>
      <c r="E445" s="210" t="str">
        <f t="shared" si="13"/>
        <v/>
      </c>
      <c r="F445" s="210"/>
      <c r="G445" s="210"/>
      <c r="H445" s="210"/>
      <c r="I445" s="210"/>
      <c r="J445" s="210"/>
      <c r="K445" s="210"/>
      <c r="L445" s="210"/>
      <c r="M445" s="210"/>
      <c r="N445" s="210"/>
      <c r="O445" s="196"/>
    </row>
    <row r="446" spans="1:15" s="212" customFormat="1" ht="15.75">
      <c r="A446" s="209" t="str">
        <f ca="1">IF(ISNA(VLOOKUP(D446,'Standard Smelter Names'!$B$3:$E$165,4,FALSE)),"",VLOOKUP(D446,'Standard Smelter Names'!$B$3:$E$165,4,FALSE))</f>
        <v/>
      </c>
      <c r="B446" s="210"/>
      <c r="C446" s="211"/>
      <c r="D446" s="211" t="str">
        <f t="shared" si="12"/>
        <v/>
      </c>
      <c r="E446" s="210" t="str">
        <f t="shared" si="13"/>
        <v/>
      </c>
      <c r="F446" s="210"/>
      <c r="G446" s="210"/>
      <c r="H446" s="210"/>
      <c r="I446" s="210"/>
      <c r="J446" s="210"/>
      <c r="K446" s="210"/>
      <c r="L446" s="210"/>
      <c r="M446" s="210"/>
      <c r="N446" s="210"/>
      <c r="O446" s="196"/>
    </row>
    <row r="447" spans="1:15" s="212" customFormat="1" ht="15.75">
      <c r="A447" s="209" t="str">
        <f ca="1">IF(ISNA(VLOOKUP(D447,'Standard Smelter Names'!$B$3:$E$165,4,FALSE)),"",VLOOKUP(D447,'Standard Smelter Names'!$B$3:$E$165,4,FALSE))</f>
        <v/>
      </c>
      <c r="B447" s="210"/>
      <c r="C447" s="211"/>
      <c r="D447" s="211" t="str">
        <f t="shared" si="12"/>
        <v/>
      </c>
      <c r="E447" s="210" t="str">
        <f t="shared" si="13"/>
        <v/>
      </c>
      <c r="F447" s="210"/>
      <c r="G447" s="210"/>
      <c r="H447" s="210"/>
      <c r="I447" s="210"/>
      <c r="J447" s="210"/>
      <c r="K447" s="210"/>
      <c r="L447" s="210"/>
      <c r="M447" s="210"/>
      <c r="N447" s="210"/>
      <c r="O447" s="196"/>
    </row>
    <row r="448" spans="1:15" s="212" customFormat="1" ht="15.75">
      <c r="A448" s="209" t="str">
        <f ca="1">IF(ISNA(VLOOKUP(D448,'Standard Smelter Names'!$B$3:$E$165,4,FALSE)),"",VLOOKUP(D448,'Standard Smelter Names'!$B$3:$E$165,4,FALSE))</f>
        <v/>
      </c>
      <c r="B448" s="210"/>
      <c r="C448" s="211"/>
      <c r="D448" s="211" t="str">
        <f t="shared" si="12"/>
        <v/>
      </c>
      <c r="E448" s="210" t="str">
        <f t="shared" si="13"/>
        <v/>
      </c>
      <c r="F448" s="210"/>
      <c r="G448" s="210"/>
      <c r="H448" s="210"/>
      <c r="I448" s="210"/>
      <c r="J448" s="210"/>
      <c r="K448" s="210"/>
      <c r="L448" s="210"/>
      <c r="M448" s="210"/>
      <c r="N448" s="210"/>
      <c r="O448" s="196"/>
    </row>
    <row r="449" spans="1:15" s="212" customFormat="1" ht="15.75">
      <c r="A449" s="209" t="str">
        <f ca="1">IF(ISNA(VLOOKUP(D449,'Standard Smelter Names'!$B$3:$E$165,4,FALSE)),"",VLOOKUP(D449,'Standard Smelter Names'!$B$3:$E$165,4,FALSE))</f>
        <v/>
      </c>
      <c r="B449" s="210"/>
      <c r="C449" s="211"/>
      <c r="D449" s="211" t="str">
        <f t="shared" si="12"/>
        <v/>
      </c>
      <c r="E449" s="210" t="str">
        <f t="shared" si="13"/>
        <v/>
      </c>
      <c r="F449" s="210"/>
      <c r="G449" s="210"/>
      <c r="H449" s="210"/>
      <c r="I449" s="210"/>
      <c r="J449" s="210"/>
      <c r="K449" s="210"/>
      <c r="L449" s="210"/>
      <c r="M449" s="210"/>
      <c r="N449" s="210"/>
      <c r="O449" s="196"/>
    </row>
    <row r="450" spans="1:15" s="212" customFormat="1" ht="15.75">
      <c r="A450" s="209" t="str">
        <f ca="1">IF(ISNA(VLOOKUP(D450,'Standard Smelter Names'!$B$3:$E$165,4,FALSE)),"",VLOOKUP(D450,'Standard Smelter Names'!$B$3:$E$165,4,FALSE))</f>
        <v/>
      </c>
      <c r="B450" s="210"/>
      <c r="C450" s="211"/>
      <c r="D450" s="211" t="str">
        <f t="shared" si="12"/>
        <v/>
      </c>
      <c r="E450" s="210" t="str">
        <f t="shared" si="13"/>
        <v/>
      </c>
      <c r="F450" s="210"/>
      <c r="G450" s="210"/>
      <c r="H450" s="210"/>
      <c r="I450" s="210"/>
      <c r="J450" s="210"/>
      <c r="K450" s="210"/>
      <c r="L450" s="210"/>
      <c r="M450" s="210"/>
      <c r="N450" s="210"/>
      <c r="O450" s="196"/>
    </row>
    <row r="451" spans="1:15" s="212" customFormat="1" ht="15.75">
      <c r="A451" s="209" t="str">
        <f ca="1">IF(ISNA(VLOOKUP(D451,'Standard Smelter Names'!$B$3:$E$165,4,FALSE)),"",VLOOKUP(D451,'Standard Smelter Names'!$B$3:$E$165,4,FALSE))</f>
        <v/>
      </c>
      <c r="B451" s="210"/>
      <c r="C451" s="211"/>
      <c r="D451" s="211" t="str">
        <f t="shared" si="12"/>
        <v/>
      </c>
      <c r="E451" s="210" t="str">
        <f t="shared" si="13"/>
        <v/>
      </c>
      <c r="F451" s="210"/>
      <c r="G451" s="210"/>
      <c r="H451" s="210"/>
      <c r="I451" s="210"/>
      <c r="J451" s="210"/>
      <c r="K451" s="210"/>
      <c r="L451" s="210"/>
      <c r="M451" s="210"/>
      <c r="N451" s="210"/>
      <c r="O451" s="196"/>
    </row>
    <row r="452" spans="1:15" s="212" customFormat="1" ht="15.75">
      <c r="A452" s="209" t="str">
        <f ca="1">IF(ISNA(VLOOKUP(D452,'Standard Smelter Names'!$B$3:$E$165,4,FALSE)),"",VLOOKUP(D452,'Standard Smelter Names'!$B$3:$E$165,4,FALSE))</f>
        <v/>
      </c>
      <c r="B452" s="210"/>
      <c r="C452" s="211"/>
      <c r="D452" s="211" t="str">
        <f t="shared" si="12"/>
        <v/>
      </c>
      <c r="E452" s="210" t="str">
        <f t="shared" si="13"/>
        <v/>
      </c>
      <c r="F452" s="210"/>
      <c r="G452" s="210"/>
      <c r="H452" s="210"/>
      <c r="I452" s="210"/>
      <c r="J452" s="210"/>
      <c r="K452" s="210"/>
      <c r="L452" s="210"/>
      <c r="M452" s="210"/>
      <c r="N452" s="210"/>
      <c r="O452" s="196"/>
    </row>
    <row r="453" spans="1:15" s="212" customFormat="1" ht="15.75">
      <c r="A453" s="209" t="str">
        <f ca="1">IF(ISNA(VLOOKUP(D453,'Standard Smelter Names'!$B$3:$E$165,4,FALSE)),"",VLOOKUP(D453,'Standard Smelter Names'!$B$3:$E$165,4,FALSE))</f>
        <v/>
      </c>
      <c r="B453" s="210"/>
      <c r="C453" s="211"/>
      <c r="D453" s="211" t="str">
        <f t="shared" ref="D453:D516" si="14">IF(ISNA(VLOOKUP(C453,$G$1023:$I$1379,3,FALSE)),"",VLOOKUP(C453,$G$1023:$I$1379,3,FALSE))</f>
        <v/>
      </c>
      <c r="E453" s="210" t="str">
        <f t="shared" ref="E453:E516" si="15">IF(ISNA(VLOOKUP(C453,$G$1023:$I$1379,2,FALSE)),"",VLOOKUP(C453,$G$1023:$I$1379,2,FALSE))</f>
        <v/>
      </c>
      <c r="F453" s="210"/>
      <c r="G453" s="210"/>
      <c r="H453" s="210"/>
      <c r="I453" s="210"/>
      <c r="J453" s="210"/>
      <c r="K453" s="210"/>
      <c r="L453" s="210"/>
      <c r="M453" s="210"/>
      <c r="N453" s="210"/>
      <c r="O453" s="196"/>
    </row>
    <row r="454" spans="1:15" s="212" customFormat="1" ht="15.75">
      <c r="A454" s="209" t="str">
        <f ca="1">IF(ISNA(VLOOKUP(D454,'Standard Smelter Names'!$B$3:$E$165,4,FALSE)),"",VLOOKUP(D454,'Standard Smelter Names'!$B$3:$E$165,4,FALSE))</f>
        <v/>
      </c>
      <c r="B454" s="210"/>
      <c r="C454" s="211"/>
      <c r="D454" s="211" t="str">
        <f t="shared" si="14"/>
        <v/>
      </c>
      <c r="E454" s="210" t="str">
        <f t="shared" si="15"/>
        <v/>
      </c>
      <c r="F454" s="210"/>
      <c r="G454" s="210"/>
      <c r="H454" s="210"/>
      <c r="I454" s="210"/>
      <c r="J454" s="210"/>
      <c r="K454" s="210"/>
      <c r="L454" s="210"/>
      <c r="M454" s="210"/>
      <c r="N454" s="210"/>
      <c r="O454" s="196"/>
    </row>
    <row r="455" spans="1:15" s="212" customFormat="1" ht="15.75">
      <c r="A455" s="209" t="str">
        <f ca="1">IF(ISNA(VLOOKUP(D455,'Standard Smelter Names'!$B$3:$E$165,4,FALSE)),"",VLOOKUP(D455,'Standard Smelter Names'!$B$3:$E$165,4,FALSE))</f>
        <v/>
      </c>
      <c r="B455" s="210"/>
      <c r="C455" s="211"/>
      <c r="D455" s="211" t="str">
        <f t="shared" si="14"/>
        <v/>
      </c>
      <c r="E455" s="210" t="str">
        <f t="shared" si="15"/>
        <v/>
      </c>
      <c r="F455" s="210"/>
      <c r="G455" s="210"/>
      <c r="H455" s="210"/>
      <c r="I455" s="210"/>
      <c r="J455" s="210"/>
      <c r="K455" s="210"/>
      <c r="L455" s="210"/>
      <c r="M455" s="210"/>
      <c r="N455" s="210"/>
      <c r="O455" s="196"/>
    </row>
    <row r="456" spans="1:15" s="212" customFormat="1" ht="15.75">
      <c r="A456" s="209" t="str">
        <f ca="1">IF(ISNA(VLOOKUP(D456,'Standard Smelter Names'!$B$3:$E$165,4,FALSE)),"",VLOOKUP(D456,'Standard Smelter Names'!$B$3:$E$165,4,FALSE))</f>
        <v/>
      </c>
      <c r="B456" s="210"/>
      <c r="C456" s="211"/>
      <c r="D456" s="211" t="str">
        <f t="shared" si="14"/>
        <v/>
      </c>
      <c r="E456" s="210" t="str">
        <f t="shared" si="15"/>
        <v/>
      </c>
      <c r="F456" s="210"/>
      <c r="G456" s="210"/>
      <c r="H456" s="210"/>
      <c r="I456" s="210"/>
      <c r="J456" s="210"/>
      <c r="K456" s="210"/>
      <c r="L456" s="210"/>
      <c r="M456" s="210"/>
      <c r="N456" s="210"/>
      <c r="O456" s="196"/>
    </row>
    <row r="457" spans="1:15" s="212" customFormat="1" ht="15.75">
      <c r="A457" s="209" t="str">
        <f ca="1">IF(ISNA(VLOOKUP(D457,'Standard Smelter Names'!$B$3:$E$165,4,FALSE)),"",VLOOKUP(D457,'Standard Smelter Names'!$B$3:$E$165,4,FALSE))</f>
        <v/>
      </c>
      <c r="B457" s="210"/>
      <c r="C457" s="211"/>
      <c r="D457" s="211" t="str">
        <f t="shared" si="14"/>
        <v/>
      </c>
      <c r="E457" s="210" t="str">
        <f t="shared" si="15"/>
        <v/>
      </c>
      <c r="F457" s="210"/>
      <c r="G457" s="210"/>
      <c r="H457" s="210"/>
      <c r="I457" s="210"/>
      <c r="J457" s="210"/>
      <c r="K457" s="210"/>
      <c r="L457" s="210"/>
      <c r="M457" s="210"/>
      <c r="N457" s="210"/>
      <c r="O457" s="196"/>
    </row>
    <row r="458" spans="1:15" s="212" customFormat="1" ht="15.75">
      <c r="A458" s="209" t="str">
        <f ca="1">IF(ISNA(VLOOKUP(D458,'Standard Smelter Names'!$B$3:$E$165,4,FALSE)),"",VLOOKUP(D458,'Standard Smelter Names'!$B$3:$E$165,4,FALSE))</f>
        <v/>
      </c>
      <c r="B458" s="210"/>
      <c r="C458" s="211"/>
      <c r="D458" s="211" t="str">
        <f t="shared" si="14"/>
        <v/>
      </c>
      <c r="E458" s="210" t="str">
        <f t="shared" si="15"/>
        <v/>
      </c>
      <c r="F458" s="210"/>
      <c r="G458" s="210"/>
      <c r="H458" s="210"/>
      <c r="I458" s="210"/>
      <c r="J458" s="210"/>
      <c r="K458" s="210"/>
      <c r="L458" s="210"/>
      <c r="M458" s="210"/>
      <c r="N458" s="210"/>
      <c r="O458" s="196"/>
    </row>
    <row r="459" spans="1:15" s="212" customFormat="1" ht="15.75">
      <c r="A459" s="209" t="str">
        <f ca="1">IF(ISNA(VLOOKUP(D459,'Standard Smelter Names'!$B$3:$E$165,4,FALSE)),"",VLOOKUP(D459,'Standard Smelter Names'!$B$3:$E$165,4,FALSE))</f>
        <v/>
      </c>
      <c r="B459" s="210"/>
      <c r="C459" s="211"/>
      <c r="D459" s="211" t="str">
        <f t="shared" si="14"/>
        <v/>
      </c>
      <c r="E459" s="210" t="str">
        <f t="shared" si="15"/>
        <v/>
      </c>
      <c r="F459" s="210"/>
      <c r="G459" s="210"/>
      <c r="H459" s="210"/>
      <c r="I459" s="210"/>
      <c r="J459" s="210"/>
      <c r="K459" s="210"/>
      <c r="L459" s="210"/>
      <c r="M459" s="210"/>
      <c r="N459" s="210"/>
      <c r="O459" s="196"/>
    </row>
    <row r="460" spans="1:15" s="212" customFormat="1" ht="15.75">
      <c r="A460" s="209" t="str">
        <f ca="1">IF(ISNA(VLOOKUP(D460,'Standard Smelter Names'!$B$3:$E$165,4,FALSE)),"",VLOOKUP(D460,'Standard Smelter Names'!$B$3:$E$165,4,FALSE))</f>
        <v/>
      </c>
      <c r="B460" s="210"/>
      <c r="C460" s="211"/>
      <c r="D460" s="211" t="str">
        <f t="shared" si="14"/>
        <v/>
      </c>
      <c r="E460" s="210" t="str">
        <f t="shared" si="15"/>
        <v/>
      </c>
      <c r="F460" s="210"/>
      <c r="G460" s="210"/>
      <c r="H460" s="210"/>
      <c r="I460" s="210"/>
      <c r="J460" s="210"/>
      <c r="K460" s="210"/>
      <c r="L460" s="210"/>
      <c r="M460" s="210"/>
      <c r="N460" s="210"/>
      <c r="O460" s="196"/>
    </row>
    <row r="461" spans="1:15" s="212" customFormat="1" ht="15.75">
      <c r="A461" s="209" t="str">
        <f ca="1">IF(ISNA(VLOOKUP(D461,'Standard Smelter Names'!$B$3:$E$165,4,FALSE)),"",VLOOKUP(D461,'Standard Smelter Names'!$B$3:$E$165,4,FALSE))</f>
        <v/>
      </c>
      <c r="B461" s="210"/>
      <c r="C461" s="211"/>
      <c r="D461" s="211" t="str">
        <f t="shared" si="14"/>
        <v/>
      </c>
      <c r="E461" s="210" t="str">
        <f t="shared" si="15"/>
        <v/>
      </c>
      <c r="F461" s="210"/>
      <c r="G461" s="210"/>
      <c r="H461" s="210"/>
      <c r="I461" s="210"/>
      <c r="J461" s="210"/>
      <c r="K461" s="210"/>
      <c r="L461" s="210"/>
      <c r="M461" s="210"/>
      <c r="N461" s="210"/>
      <c r="O461" s="196"/>
    </row>
    <row r="462" spans="1:15" s="212" customFormat="1" ht="15.75">
      <c r="A462" s="209" t="str">
        <f ca="1">IF(ISNA(VLOOKUP(D462,'Standard Smelter Names'!$B$3:$E$165,4,FALSE)),"",VLOOKUP(D462,'Standard Smelter Names'!$B$3:$E$165,4,FALSE))</f>
        <v/>
      </c>
      <c r="B462" s="210"/>
      <c r="C462" s="211"/>
      <c r="D462" s="211" t="str">
        <f t="shared" si="14"/>
        <v/>
      </c>
      <c r="E462" s="210" t="str">
        <f t="shared" si="15"/>
        <v/>
      </c>
      <c r="F462" s="210"/>
      <c r="G462" s="210"/>
      <c r="H462" s="210"/>
      <c r="I462" s="210"/>
      <c r="J462" s="210"/>
      <c r="K462" s="210"/>
      <c r="L462" s="210"/>
      <c r="M462" s="210"/>
      <c r="N462" s="210"/>
      <c r="O462" s="196"/>
    </row>
    <row r="463" spans="1:15" s="212" customFormat="1" ht="15.75">
      <c r="A463" s="209" t="str">
        <f ca="1">IF(ISNA(VLOOKUP(D463,'Standard Smelter Names'!$B$3:$E$165,4,FALSE)),"",VLOOKUP(D463,'Standard Smelter Names'!$B$3:$E$165,4,FALSE))</f>
        <v/>
      </c>
      <c r="B463" s="210"/>
      <c r="C463" s="211"/>
      <c r="D463" s="211" t="str">
        <f t="shared" si="14"/>
        <v/>
      </c>
      <c r="E463" s="210" t="str">
        <f t="shared" si="15"/>
        <v/>
      </c>
      <c r="F463" s="210"/>
      <c r="G463" s="210"/>
      <c r="H463" s="210"/>
      <c r="I463" s="210"/>
      <c r="J463" s="210"/>
      <c r="K463" s="210"/>
      <c r="L463" s="210"/>
      <c r="M463" s="210"/>
      <c r="N463" s="210"/>
      <c r="O463" s="196"/>
    </row>
    <row r="464" spans="1:15" s="212" customFormat="1" ht="15.75">
      <c r="A464" s="209" t="str">
        <f ca="1">IF(ISNA(VLOOKUP(D464,'Standard Smelter Names'!$B$3:$E$165,4,FALSE)),"",VLOOKUP(D464,'Standard Smelter Names'!$B$3:$E$165,4,FALSE))</f>
        <v/>
      </c>
      <c r="B464" s="210"/>
      <c r="C464" s="211"/>
      <c r="D464" s="211" t="str">
        <f t="shared" si="14"/>
        <v/>
      </c>
      <c r="E464" s="210" t="str">
        <f t="shared" si="15"/>
        <v/>
      </c>
      <c r="F464" s="210"/>
      <c r="G464" s="210"/>
      <c r="H464" s="210"/>
      <c r="I464" s="210"/>
      <c r="J464" s="210"/>
      <c r="K464" s="210"/>
      <c r="L464" s="210"/>
      <c r="M464" s="210"/>
      <c r="N464" s="210"/>
      <c r="O464" s="196"/>
    </row>
    <row r="465" spans="1:15" s="212" customFormat="1" ht="15.75">
      <c r="A465" s="209" t="str">
        <f ca="1">IF(ISNA(VLOOKUP(D465,'Standard Smelter Names'!$B$3:$E$165,4,FALSE)),"",VLOOKUP(D465,'Standard Smelter Names'!$B$3:$E$165,4,FALSE))</f>
        <v/>
      </c>
      <c r="B465" s="210"/>
      <c r="C465" s="211"/>
      <c r="D465" s="211" t="str">
        <f t="shared" si="14"/>
        <v/>
      </c>
      <c r="E465" s="210" t="str">
        <f t="shared" si="15"/>
        <v/>
      </c>
      <c r="F465" s="210"/>
      <c r="G465" s="210"/>
      <c r="H465" s="210"/>
      <c r="I465" s="210"/>
      <c r="J465" s="210"/>
      <c r="K465" s="210"/>
      <c r="L465" s="210"/>
      <c r="M465" s="210"/>
      <c r="N465" s="210"/>
      <c r="O465" s="196"/>
    </row>
    <row r="466" spans="1:15" s="212" customFormat="1" ht="15.75">
      <c r="A466" s="209" t="str">
        <f ca="1">IF(ISNA(VLOOKUP(D466,'Standard Smelter Names'!$B$3:$E$165,4,FALSE)),"",VLOOKUP(D466,'Standard Smelter Names'!$B$3:$E$165,4,FALSE))</f>
        <v/>
      </c>
      <c r="B466" s="210"/>
      <c r="C466" s="211"/>
      <c r="D466" s="211" t="str">
        <f t="shared" si="14"/>
        <v/>
      </c>
      <c r="E466" s="210" t="str">
        <f t="shared" si="15"/>
        <v/>
      </c>
      <c r="F466" s="210"/>
      <c r="G466" s="210"/>
      <c r="H466" s="210"/>
      <c r="I466" s="210"/>
      <c r="J466" s="210"/>
      <c r="K466" s="210"/>
      <c r="L466" s="210"/>
      <c r="M466" s="210"/>
      <c r="N466" s="210"/>
      <c r="O466" s="196"/>
    </row>
    <row r="467" spans="1:15" s="212" customFormat="1" ht="15.75">
      <c r="A467" s="209" t="str">
        <f ca="1">IF(ISNA(VLOOKUP(D467,'Standard Smelter Names'!$B$3:$E$165,4,FALSE)),"",VLOOKUP(D467,'Standard Smelter Names'!$B$3:$E$165,4,FALSE))</f>
        <v/>
      </c>
      <c r="B467" s="210"/>
      <c r="C467" s="211"/>
      <c r="D467" s="211" t="str">
        <f t="shared" si="14"/>
        <v/>
      </c>
      <c r="E467" s="210" t="str">
        <f t="shared" si="15"/>
        <v/>
      </c>
      <c r="F467" s="210"/>
      <c r="G467" s="210"/>
      <c r="H467" s="210"/>
      <c r="I467" s="210"/>
      <c r="J467" s="210"/>
      <c r="K467" s="210"/>
      <c r="L467" s="210"/>
      <c r="M467" s="210"/>
      <c r="N467" s="210"/>
      <c r="O467" s="196"/>
    </row>
    <row r="468" spans="1:15" s="212" customFormat="1" ht="15.75">
      <c r="A468" s="209" t="str">
        <f ca="1">IF(ISNA(VLOOKUP(D468,'Standard Smelter Names'!$B$3:$E$165,4,FALSE)),"",VLOOKUP(D468,'Standard Smelter Names'!$B$3:$E$165,4,FALSE))</f>
        <v/>
      </c>
      <c r="B468" s="210"/>
      <c r="C468" s="211"/>
      <c r="D468" s="211" t="str">
        <f t="shared" si="14"/>
        <v/>
      </c>
      <c r="E468" s="210" t="str">
        <f t="shared" si="15"/>
        <v/>
      </c>
      <c r="F468" s="210"/>
      <c r="G468" s="210"/>
      <c r="H468" s="210"/>
      <c r="I468" s="210"/>
      <c r="J468" s="210"/>
      <c r="K468" s="210"/>
      <c r="L468" s="210"/>
      <c r="M468" s="210"/>
      <c r="N468" s="210"/>
      <c r="O468" s="196"/>
    </row>
    <row r="469" spans="1:15" s="212" customFormat="1" ht="15.75">
      <c r="A469" s="209" t="str">
        <f ca="1">IF(ISNA(VLOOKUP(D469,'Standard Smelter Names'!$B$3:$E$165,4,FALSE)),"",VLOOKUP(D469,'Standard Smelter Names'!$B$3:$E$165,4,FALSE))</f>
        <v/>
      </c>
      <c r="B469" s="210"/>
      <c r="C469" s="211"/>
      <c r="D469" s="211" t="str">
        <f t="shared" si="14"/>
        <v/>
      </c>
      <c r="E469" s="210" t="str">
        <f t="shared" si="15"/>
        <v/>
      </c>
      <c r="F469" s="210"/>
      <c r="G469" s="210"/>
      <c r="H469" s="210"/>
      <c r="I469" s="210"/>
      <c r="J469" s="210"/>
      <c r="K469" s="210"/>
      <c r="L469" s="210"/>
      <c r="M469" s="210"/>
      <c r="N469" s="210"/>
      <c r="O469" s="196"/>
    </row>
    <row r="470" spans="1:15" s="212" customFormat="1" ht="15.75">
      <c r="A470" s="209" t="str">
        <f ca="1">IF(ISNA(VLOOKUP(D470,'Standard Smelter Names'!$B$3:$E$165,4,FALSE)),"",VLOOKUP(D470,'Standard Smelter Names'!$B$3:$E$165,4,FALSE))</f>
        <v/>
      </c>
      <c r="B470" s="210"/>
      <c r="C470" s="211"/>
      <c r="D470" s="211" t="str">
        <f t="shared" si="14"/>
        <v/>
      </c>
      <c r="E470" s="210" t="str">
        <f t="shared" si="15"/>
        <v/>
      </c>
      <c r="F470" s="210"/>
      <c r="G470" s="210"/>
      <c r="H470" s="210"/>
      <c r="I470" s="210"/>
      <c r="J470" s="210"/>
      <c r="K470" s="210"/>
      <c r="L470" s="210"/>
      <c r="M470" s="210"/>
      <c r="N470" s="210"/>
      <c r="O470" s="196"/>
    </row>
    <row r="471" spans="1:15" s="212" customFormat="1" ht="15.75">
      <c r="A471" s="209" t="str">
        <f ca="1">IF(ISNA(VLOOKUP(D471,'Standard Smelter Names'!$B$3:$E$165,4,FALSE)),"",VLOOKUP(D471,'Standard Smelter Names'!$B$3:$E$165,4,FALSE))</f>
        <v/>
      </c>
      <c r="B471" s="210"/>
      <c r="C471" s="211"/>
      <c r="D471" s="211" t="str">
        <f t="shared" si="14"/>
        <v/>
      </c>
      <c r="E471" s="210" t="str">
        <f t="shared" si="15"/>
        <v/>
      </c>
      <c r="F471" s="210"/>
      <c r="G471" s="210"/>
      <c r="H471" s="210"/>
      <c r="I471" s="210"/>
      <c r="J471" s="210"/>
      <c r="K471" s="210"/>
      <c r="L471" s="210"/>
      <c r="M471" s="210"/>
      <c r="N471" s="210"/>
      <c r="O471" s="196"/>
    </row>
    <row r="472" spans="1:15" s="212" customFormat="1" ht="15.75">
      <c r="A472" s="209" t="str">
        <f ca="1">IF(ISNA(VLOOKUP(D472,'Standard Smelter Names'!$B$3:$E$165,4,FALSE)),"",VLOOKUP(D472,'Standard Smelter Names'!$B$3:$E$165,4,FALSE))</f>
        <v/>
      </c>
      <c r="B472" s="210"/>
      <c r="C472" s="211"/>
      <c r="D472" s="211" t="str">
        <f t="shared" si="14"/>
        <v/>
      </c>
      <c r="E472" s="210" t="str">
        <f t="shared" si="15"/>
        <v/>
      </c>
      <c r="F472" s="210"/>
      <c r="G472" s="210"/>
      <c r="H472" s="210"/>
      <c r="I472" s="210"/>
      <c r="J472" s="210"/>
      <c r="K472" s="210"/>
      <c r="L472" s="210"/>
      <c r="M472" s="210"/>
      <c r="N472" s="210"/>
      <c r="O472" s="196"/>
    </row>
    <row r="473" spans="1:15" s="212" customFormat="1" ht="15.75">
      <c r="A473" s="209" t="str">
        <f ca="1">IF(ISNA(VLOOKUP(D473,'Standard Smelter Names'!$B$3:$E$165,4,FALSE)),"",VLOOKUP(D473,'Standard Smelter Names'!$B$3:$E$165,4,FALSE))</f>
        <v/>
      </c>
      <c r="B473" s="210"/>
      <c r="C473" s="211"/>
      <c r="D473" s="211" t="str">
        <f t="shared" si="14"/>
        <v/>
      </c>
      <c r="E473" s="210" t="str">
        <f t="shared" si="15"/>
        <v/>
      </c>
      <c r="F473" s="210"/>
      <c r="G473" s="210"/>
      <c r="H473" s="210"/>
      <c r="I473" s="210"/>
      <c r="J473" s="210"/>
      <c r="K473" s="210"/>
      <c r="L473" s="210"/>
      <c r="M473" s="210"/>
      <c r="N473" s="210"/>
      <c r="O473" s="196"/>
    </row>
    <row r="474" spans="1:15" s="212" customFormat="1" ht="15.75">
      <c r="A474" s="209" t="str">
        <f ca="1">IF(ISNA(VLOOKUP(D474,'Standard Smelter Names'!$B$3:$E$165,4,FALSE)),"",VLOOKUP(D474,'Standard Smelter Names'!$B$3:$E$165,4,FALSE))</f>
        <v/>
      </c>
      <c r="B474" s="210"/>
      <c r="C474" s="211"/>
      <c r="D474" s="211" t="str">
        <f t="shared" si="14"/>
        <v/>
      </c>
      <c r="E474" s="210" t="str">
        <f t="shared" si="15"/>
        <v/>
      </c>
      <c r="F474" s="210"/>
      <c r="G474" s="210"/>
      <c r="H474" s="210"/>
      <c r="I474" s="210"/>
      <c r="J474" s="210"/>
      <c r="K474" s="210"/>
      <c r="L474" s="210"/>
      <c r="M474" s="210"/>
      <c r="N474" s="210"/>
      <c r="O474" s="196"/>
    </row>
    <row r="475" spans="1:15" s="212" customFormat="1" ht="15.75">
      <c r="A475" s="209" t="str">
        <f ca="1">IF(ISNA(VLOOKUP(D475,'Standard Smelter Names'!$B$3:$E$165,4,FALSE)),"",VLOOKUP(D475,'Standard Smelter Names'!$B$3:$E$165,4,FALSE))</f>
        <v/>
      </c>
      <c r="B475" s="210"/>
      <c r="C475" s="211"/>
      <c r="D475" s="211" t="str">
        <f t="shared" si="14"/>
        <v/>
      </c>
      <c r="E475" s="210" t="str">
        <f t="shared" si="15"/>
        <v/>
      </c>
      <c r="F475" s="210"/>
      <c r="G475" s="210"/>
      <c r="H475" s="210"/>
      <c r="I475" s="210"/>
      <c r="J475" s="210"/>
      <c r="K475" s="210"/>
      <c r="L475" s="210"/>
      <c r="M475" s="210"/>
      <c r="N475" s="210"/>
      <c r="O475" s="196"/>
    </row>
    <row r="476" spans="1:15" s="212" customFormat="1" ht="15.75">
      <c r="A476" s="209" t="str">
        <f ca="1">IF(ISNA(VLOOKUP(D476,'Standard Smelter Names'!$B$3:$E$165,4,FALSE)),"",VLOOKUP(D476,'Standard Smelter Names'!$B$3:$E$165,4,FALSE))</f>
        <v/>
      </c>
      <c r="B476" s="210"/>
      <c r="C476" s="211"/>
      <c r="D476" s="211" t="str">
        <f t="shared" si="14"/>
        <v/>
      </c>
      <c r="E476" s="210" t="str">
        <f t="shared" si="15"/>
        <v/>
      </c>
      <c r="F476" s="210"/>
      <c r="G476" s="210"/>
      <c r="H476" s="210"/>
      <c r="I476" s="210"/>
      <c r="J476" s="210"/>
      <c r="K476" s="210"/>
      <c r="L476" s="210"/>
      <c r="M476" s="210"/>
      <c r="N476" s="210"/>
      <c r="O476" s="196"/>
    </row>
    <row r="477" spans="1:15" s="212" customFormat="1" ht="15.75">
      <c r="A477" s="209" t="str">
        <f ca="1">IF(ISNA(VLOOKUP(D477,'Standard Smelter Names'!$B$3:$E$165,4,FALSE)),"",VLOOKUP(D477,'Standard Smelter Names'!$B$3:$E$165,4,FALSE))</f>
        <v/>
      </c>
      <c r="B477" s="210"/>
      <c r="C477" s="211"/>
      <c r="D477" s="211" t="str">
        <f t="shared" si="14"/>
        <v/>
      </c>
      <c r="E477" s="210" t="str">
        <f t="shared" si="15"/>
        <v/>
      </c>
      <c r="F477" s="210"/>
      <c r="G477" s="210"/>
      <c r="H477" s="210"/>
      <c r="I477" s="210"/>
      <c r="J477" s="210"/>
      <c r="K477" s="210"/>
      <c r="L477" s="210"/>
      <c r="M477" s="210"/>
      <c r="N477" s="210"/>
      <c r="O477" s="196"/>
    </row>
    <row r="478" spans="1:15" s="212" customFormat="1" ht="15.75">
      <c r="A478" s="209" t="str">
        <f ca="1">IF(ISNA(VLOOKUP(D478,'Standard Smelter Names'!$B$3:$E$165,4,FALSE)),"",VLOOKUP(D478,'Standard Smelter Names'!$B$3:$E$165,4,FALSE))</f>
        <v/>
      </c>
      <c r="B478" s="210"/>
      <c r="C478" s="211"/>
      <c r="D478" s="211" t="str">
        <f t="shared" si="14"/>
        <v/>
      </c>
      <c r="E478" s="210" t="str">
        <f t="shared" si="15"/>
        <v/>
      </c>
      <c r="F478" s="210"/>
      <c r="G478" s="210"/>
      <c r="H478" s="210"/>
      <c r="I478" s="210"/>
      <c r="J478" s="210"/>
      <c r="K478" s="210"/>
      <c r="L478" s="210"/>
      <c r="M478" s="210"/>
      <c r="N478" s="210"/>
      <c r="O478" s="196"/>
    </row>
    <row r="479" spans="1:15" s="212" customFormat="1" ht="15.75">
      <c r="A479" s="209" t="str">
        <f ca="1">IF(ISNA(VLOOKUP(D479,'Standard Smelter Names'!$B$3:$E$165,4,FALSE)),"",VLOOKUP(D479,'Standard Smelter Names'!$B$3:$E$165,4,FALSE))</f>
        <v/>
      </c>
      <c r="B479" s="210"/>
      <c r="C479" s="211"/>
      <c r="D479" s="211" t="str">
        <f t="shared" si="14"/>
        <v/>
      </c>
      <c r="E479" s="210" t="str">
        <f t="shared" si="15"/>
        <v/>
      </c>
      <c r="F479" s="210"/>
      <c r="G479" s="210"/>
      <c r="H479" s="210"/>
      <c r="I479" s="210"/>
      <c r="J479" s="210"/>
      <c r="K479" s="210"/>
      <c r="L479" s="210"/>
      <c r="M479" s="210"/>
      <c r="N479" s="210"/>
      <c r="O479" s="196"/>
    </row>
    <row r="480" spans="1:15" s="212" customFormat="1" ht="15.75">
      <c r="A480" s="209" t="str">
        <f ca="1">IF(ISNA(VLOOKUP(D480,'Standard Smelter Names'!$B$3:$E$165,4,FALSE)),"",VLOOKUP(D480,'Standard Smelter Names'!$B$3:$E$165,4,FALSE))</f>
        <v/>
      </c>
      <c r="B480" s="210"/>
      <c r="C480" s="211"/>
      <c r="D480" s="211" t="str">
        <f t="shared" si="14"/>
        <v/>
      </c>
      <c r="E480" s="210" t="str">
        <f t="shared" si="15"/>
        <v/>
      </c>
      <c r="F480" s="210"/>
      <c r="G480" s="210"/>
      <c r="H480" s="210"/>
      <c r="I480" s="210"/>
      <c r="J480" s="210"/>
      <c r="K480" s="210"/>
      <c r="L480" s="210"/>
      <c r="M480" s="210"/>
      <c r="N480" s="210"/>
      <c r="O480" s="196"/>
    </row>
    <row r="481" spans="1:15" s="212" customFormat="1" ht="15.75">
      <c r="A481" s="209" t="str">
        <f ca="1">IF(ISNA(VLOOKUP(D481,'Standard Smelter Names'!$B$3:$E$165,4,FALSE)),"",VLOOKUP(D481,'Standard Smelter Names'!$B$3:$E$165,4,FALSE))</f>
        <v/>
      </c>
      <c r="B481" s="210"/>
      <c r="C481" s="211"/>
      <c r="D481" s="211" t="str">
        <f t="shared" si="14"/>
        <v/>
      </c>
      <c r="E481" s="210" t="str">
        <f t="shared" si="15"/>
        <v/>
      </c>
      <c r="F481" s="210"/>
      <c r="G481" s="210"/>
      <c r="H481" s="210"/>
      <c r="I481" s="210"/>
      <c r="J481" s="210"/>
      <c r="K481" s="210"/>
      <c r="L481" s="210"/>
      <c r="M481" s="210"/>
      <c r="N481" s="210"/>
      <c r="O481" s="196"/>
    </row>
    <row r="482" spans="1:15" s="212" customFormat="1" ht="15.75">
      <c r="A482" s="209" t="str">
        <f ca="1">IF(ISNA(VLOOKUP(D482,'Standard Smelter Names'!$B$3:$E$165,4,FALSE)),"",VLOOKUP(D482,'Standard Smelter Names'!$B$3:$E$165,4,FALSE))</f>
        <v/>
      </c>
      <c r="B482" s="210"/>
      <c r="C482" s="211"/>
      <c r="D482" s="211" t="str">
        <f t="shared" si="14"/>
        <v/>
      </c>
      <c r="E482" s="210" t="str">
        <f t="shared" si="15"/>
        <v/>
      </c>
      <c r="F482" s="210"/>
      <c r="G482" s="210"/>
      <c r="H482" s="210"/>
      <c r="I482" s="210"/>
      <c r="J482" s="210"/>
      <c r="K482" s="210"/>
      <c r="L482" s="210"/>
      <c r="M482" s="210"/>
      <c r="N482" s="210"/>
      <c r="O482" s="196"/>
    </row>
    <row r="483" spans="1:15" s="212" customFormat="1" ht="15.75">
      <c r="A483" s="209" t="str">
        <f ca="1">IF(ISNA(VLOOKUP(D483,'Standard Smelter Names'!$B$3:$E$165,4,FALSE)),"",VLOOKUP(D483,'Standard Smelter Names'!$B$3:$E$165,4,FALSE))</f>
        <v/>
      </c>
      <c r="B483" s="210"/>
      <c r="C483" s="211"/>
      <c r="D483" s="211" t="str">
        <f t="shared" si="14"/>
        <v/>
      </c>
      <c r="E483" s="210" t="str">
        <f t="shared" si="15"/>
        <v/>
      </c>
      <c r="F483" s="210"/>
      <c r="G483" s="210"/>
      <c r="H483" s="210"/>
      <c r="I483" s="210"/>
      <c r="J483" s="210"/>
      <c r="K483" s="210"/>
      <c r="L483" s="210"/>
      <c r="M483" s="210"/>
      <c r="N483" s="210"/>
      <c r="O483" s="196"/>
    </row>
    <row r="484" spans="1:15" s="212" customFormat="1" ht="15.75">
      <c r="A484" s="209" t="str">
        <f ca="1">IF(ISNA(VLOOKUP(D484,'Standard Smelter Names'!$B$3:$E$165,4,FALSE)),"",VLOOKUP(D484,'Standard Smelter Names'!$B$3:$E$165,4,FALSE))</f>
        <v/>
      </c>
      <c r="B484" s="210"/>
      <c r="C484" s="211"/>
      <c r="D484" s="211" t="str">
        <f t="shared" si="14"/>
        <v/>
      </c>
      <c r="E484" s="210" t="str">
        <f t="shared" si="15"/>
        <v/>
      </c>
      <c r="F484" s="210"/>
      <c r="G484" s="210"/>
      <c r="H484" s="210"/>
      <c r="I484" s="210"/>
      <c r="J484" s="210"/>
      <c r="K484" s="210"/>
      <c r="L484" s="210"/>
      <c r="M484" s="210"/>
      <c r="N484" s="210"/>
      <c r="O484" s="196"/>
    </row>
    <row r="485" spans="1:15" s="212" customFormat="1" ht="15.75">
      <c r="A485" s="209" t="str">
        <f ca="1">IF(ISNA(VLOOKUP(D485,'Standard Smelter Names'!$B$3:$E$165,4,FALSE)),"",VLOOKUP(D485,'Standard Smelter Names'!$B$3:$E$165,4,FALSE))</f>
        <v/>
      </c>
      <c r="B485" s="210"/>
      <c r="C485" s="211"/>
      <c r="D485" s="211" t="str">
        <f t="shared" si="14"/>
        <v/>
      </c>
      <c r="E485" s="210" t="str">
        <f t="shared" si="15"/>
        <v/>
      </c>
      <c r="F485" s="210"/>
      <c r="G485" s="210"/>
      <c r="H485" s="210"/>
      <c r="I485" s="210"/>
      <c r="J485" s="210"/>
      <c r="K485" s="210"/>
      <c r="L485" s="210"/>
      <c r="M485" s="210"/>
      <c r="N485" s="210"/>
      <c r="O485" s="196"/>
    </row>
    <row r="486" spans="1:15" s="212" customFormat="1" ht="15.75">
      <c r="A486" s="209" t="str">
        <f ca="1">IF(ISNA(VLOOKUP(D486,'Standard Smelter Names'!$B$3:$E$165,4,FALSE)),"",VLOOKUP(D486,'Standard Smelter Names'!$B$3:$E$165,4,FALSE))</f>
        <v/>
      </c>
      <c r="B486" s="210"/>
      <c r="C486" s="211"/>
      <c r="D486" s="211" t="str">
        <f t="shared" si="14"/>
        <v/>
      </c>
      <c r="E486" s="210" t="str">
        <f t="shared" si="15"/>
        <v/>
      </c>
      <c r="F486" s="210"/>
      <c r="G486" s="210"/>
      <c r="H486" s="210"/>
      <c r="I486" s="210"/>
      <c r="J486" s="210"/>
      <c r="K486" s="210"/>
      <c r="L486" s="210"/>
      <c r="M486" s="210"/>
      <c r="N486" s="210"/>
      <c r="O486" s="196"/>
    </row>
    <row r="487" spans="1:15" s="212" customFormat="1" ht="15.75">
      <c r="A487" s="209" t="str">
        <f ca="1">IF(ISNA(VLOOKUP(D487,'Standard Smelter Names'!$B$3:$E$165,4,FALSE)),"",VLOOKUP(D487,'Standard Smelter Names'!$B$3:$E$165,4,FALSE))</f>
        <v/>
      </c>
      <c r="B487" s="210"/>
      <c r="C487" s="211"/>
      <c r="D487" s="211" t="str">
        <f t="shared" si="14"/>
        <v/>
      </c>
      <c r="E487" s="210" t="str">
        <f t="shared" si="15"/>
        <v/>
      </c>
      <c r="F487" s="210"/>
      <c r="G487" s="210"/>
      <c r="H487" s="210"/>
      <c r="I487" s="210"/>
      <c r="J487" s="210"/>
      <c r="K487" s="210"/>
      <c r="L487" s="210"/>
      <c r="M487" s="210"/>
      <c r="N487" s="210"/>
      <c r="O487" s="196"/>
    </row>
    <row r="488" spans="1:15" s="212" customFormat="1" ht="15.75">
      <c r="A488" s="209" t="str">
        <f ca="1">IF(ISNA(VLOOKUP(D488,'Standard Smelter Names'!$B$3:$E$165,4,FALSE)),"",VLOOKUP(D488,'Standard Smelter Names'!$B$3:$E$165,4,FALSE))</f>
        <v/>
      </c>
      <c r="B488" s="210"/>
      <c r="C488" s="211"/>
      <c r="D488" s="211" t="str">
        <f t="shared" si="14"/>
        <v/>
      </c>
      <c r="E488" s="210" t="str">
        <f t="shared" si="15"/>
        <v/>
      </c>
      <c r="F488" s="210"/>
      <c r="G488" s="210"/>
      <c r="H488" s="210"/>
      <c r="I488" s="210"/>
      <c r="J488" s="210"/>
      <c r="K488" s="210"/>
      <c r="L488" s="210"/>
      <c r="M488" s="210"/>
      <c r="N488" s="210"/>
      <c r="O488" s="196"/>
    </row>
    <row r="489" spans="1:15" s="212" customFormat="1" ht="15.75">
      <c r="A489" s="209" t="str">
        <f ca="1">IF(ISNA(VLOOKUP(D489,'Standard Smelter Names'!$B$3:$E$165,4,FALSE)),"",VLOOKUP(D489,'Standard Smelter Names'!$B$3:$E$165,4,FALSE))</f>
        <v/>
      </c>
      <c r="B489" s="210"/>
      <c r="C489" s="211"/>
      <c r="D489" s="211" t="str">
        <f t="shared" si="14"/>
        <v/>
      </c>
      <c r="E489" s="210" t="str">
        <f t="shared" si="15"/>
        <v/>
      </c>
      <c r="F489" s="210"/>
      <c r="G489" s="210"/>
      <c r="H489" s="210"/>
      <c r="I489" s="210"/>
      <c r="J489" s="210"/>
      <c r="K489" s="210"/>
      <c r="L489" s="210"/>
      <c r="M489" s="210"/>
      <c r="N489" s="210"/>
      <c r="O489" s="196"/>
    </row>
    <row r="490" spans="1:15" s="212" customFormat="1" ht="15.75">
      <c r="A490" s="209" t="str">
        <f ca="1">IF(ISNA(VLOOKUP(D490,'Standard Smelter Names'!$B$3:$E$165,4,FALSE)),"",VLOOKUP(D490,'Standard Smelter Names'!$B$3:$E$165,4,FALSE))</f>
        <v/>
      </c>
      <c r="B490" s="210"/>
      <c r="C490" s="211"/>
      <c r="D490" s="211" t="str">
        <f t="shared" si="14"/>
        <v/>
      </c>
      <c r="E490" s="210" t="str">
        <f t="shared" si="15"/>
        <v/>
      </c>
      <c r="F490" s="210"/>
      <c r="G490" s="210"/>
      <c r="H490" s="210"/>
      <c r="I490" s="210"/>
      <c r="J490" s="210"/>
      <c r="K490" s="210"/>
      <c r="L490" s="210"/>
      <c r="M490" s="210"/>
      <c r="N490" s="210"/>
      <c r="O490" s="196"/>
    </row>
    <row r="491" spans="1:15" s="212" customFormat="1" ht="15.75">
      <c r="A491" s="209" t="str">
        <f ca="1">IF(ISNA(VLOOKUP(D491,'Standard Smelter Names'!$B$3:$E$165,4,FALSE)),"",VLOOKUP(D491,'Standard Smelter Names'!$B$3:$E$165,4,FALSE))</f>
        <v/>
      </c>
      <c r="B491" s="210"/>
      <c r="C491" s="211"/>
      <c r="D491" s="211" t="str">
        <f t="shared" si="14"/>
        <v/>
      </c>
      <c r="E491" s="210" t="str">
        <f t="shared" si="15"/>
        <v/>
      </c>
      <c r="F491" s="210"/>
      <c r="G491" s="210"/>
      <c r="H491" s="210"/>
      <c r="I491" s="210"/>
      <c r="J491" s="210"/>
      <c r="K491" s="210"/>
      <c r="L491" s="210"/>
      <c r="M491" s="210"/>
      <c r="N491" s="210"/>
      <c r="O491" s="196"/>
    </row>
    <row r="492" spans="1:15" s="212" customFormat="1" ht="15.75">
      <c r="A492" s="209" t="str">
        <f ca="1">IF(ISNA(VLOOKUP(D492,'Standard Smelter Names'!$B$3:$E$165,4,FALSE)),"",VLOOKUP(D492,'Standard Smelter Names'!$B$3:$E$165,4,FALSE))</f>
        <v/>
      </c>
      <c r="B492" s="210"/>
      <c r="C492" s="211"/>
      <c r="D492" s="211" t="str">
        <f t="shared" si="14"/>
        <v/>
      </c>
      <c r="E492" s="210" t="str">
        <f t="shared" si="15"/>
        <v/>
      </c>
      <c r="F492" s="210"/>
      <c r="G492" s="210"/>
      <c r="H492" s="210"/>
      <c r="I492" s="210"/>
      <c r="J492" s="210"/>
      <c r="K492" s="210"/>
      <c r="L492" s="210"/>
      <c r="M492" s="210"/>
      <c r="N492" s="210"/>
      <c r="O492" s="196"/>
    </row>
    <row r="493" spans="1:15" s="212" customFormat="1" ht="15.75">
      <c r="A493" s="209" t="str">
        <f ca="1">IF(ISNA(VLOOKUP(D493,'Standard Smelter Names'!$B$3:$E$165,4,FALSE)),"",VLOOKUP(D493,'Standard Smelter Names'!$B$3:$E$165,4,FALSE))</f>
        <v/>
      </c>
      <c r="B493" s="210"/>
      <c r="C493" s="211"/>
      <c r="D493" s="211" t="str">
        <f t="shared" si="14"/>
        <v/>
      </c>
      <c r="E493" s="210" t="str">
        <f t="shared" si="15"/>
        <v/>
      </c>
      <c r="F493" s="210"/>
      <c r="G493" s="210"/>
      <c r="H493" s="210"/>
      <c r="I493" s="210"/>
      <c r="J493" s="210"/>
      <c r="K493" s="210"/>
      <c r="L493" s="210"/>
      <c r="M493" s="210"/>
      <c r="N493" s="210"/>
      <c r="O493" s="196"/>
    </row>
    <row r="494" spans="1:15" s="212" customFormat="1" ht="15.75">
      <c r="A494" s="209" t="str">
        <f ca="1">IF(ISNA(VLOOKUP(D494,'Standard Smelter Names'!$B$3:$E$165,4,FALSE)),"",VLOOKUP(D494,'Standard Smelter Names'!$B$3:$E$165,4,FALSE))</f>
        <v/>
      </c>
      <c r="B494" s="210"/>
      <c r="C494" s="211"/>
      <c r="D494" s="211" t="str">
        <f t="shared" si="14"/>
        <v/>
      </c>
      <c r="E494" s="210" t="str">
        <f t="shared" si="15"/>
        <v/>
      </c>
      <c r="F494" s="210"/>
      <c r="G494" s="210"/>
      <c r="H494" s="210"/>
      <c r="I494" s="210"/>
      <c r="J494" s="210"/>
      <c r="K494" s="210"/>
      <c r="L494" s="210"/>
      <c r="M494" s="210"/>
      <c r="N494" s="210"/>
      <c r="O494" s="196"/>
    </row>
    <row r="495" spans="1:15" s="212" customFormat="1" ht="15.75">
      <c r="A495" s="209" t="str">
        <f ca="1">IF(ISNA(VLOOKUP(D495,'Standard Smelter Names'!$B$3:$E$165,4,FALSE)),"",VLOOKUP(D495,'Standard Smelter Names'!$B$3:$E$165,4,FALSE))</f>
        <v/>
      </c>
      <c r="B495" s="210"/>
      <c r="C495" s="211"/>
      <c r="D495" s="211" t="str">
        <f t="shared" si="14"/>
        <v/>
      </c>
      <c r="E495" s="210" t="str">
        <f t="shared" si="15"/>
        <v/>
      </c>
      <c r="F495" s="210"/>
      <c r="G495" s="210"/>
      <c r="H495" s="210"/>
      <c r="I495" s="210"/>
      <c r="J495" s="210"/>
      <c r="K495" s="210"/>
      <c r="L495" s="210"/>
      <c r="M495" s="210"/>
      <c r="N495" s="210"/>
      <c r="O495" s="196"/>
    </row>
    <row r="496" spans="1:15" s="212" customFormat="1" ht="15.75">
      <c r="A496" s="209" t="str">
        <f ca="1">IF(ISNA(VLOOKUP(D496,'Standard Smelter Names'!$B$3:$E$165,4,FALSE)),"",VLOOKUP(D496,'Standard Smelter Names'!$B$3:$E$165,4,FALSE))</f>
        <v/>
      </c>
      <c r="B496" s="210"/>
      <c r="C496" s="211"/>
      <c r="D496" s="211" t="str">
        <f t="shared" si="14"/>
        <v/>
      </c>
      <c r="E496" s="210" t="str">
        <f t="shared" si="15"/>
        <v/>
      </c>
      <c r="F496" s="210"/>
      <c r="G496" s="210"/>
      <c r="H496" s="210"/>
      <c r="I496" s="210"/>
      <c r="J496" s="210"/>
      <c r="K496" s="210"/>
      <c r="L496" s="210"/>
      <c r="M496" s="210"/>
      <c r="N496" s="210"/>
      <c r="O496" s="196"/>
    </row>
    <row r="497" spans="1:15" s="212" customFormat="1" ht="15.75">
      <c r="A497" s="209" t="str">
        <f ca="1">IF(ISNA(VLOOKUP(D497,'Standard Smelter Names'!$B$3:$E$165,4,FALSE)),"",VLOOKUP(D497,'Standard Smelter Names'!$B$3:$E$165,4,FALSE))</f>
        <v/>
      </c>
      <c r="B497" s="210"/>
      <c r="C497" s="211"/>
      <c r="D497" s="211" t="str">
        <f t="shared" si="14"/>
        <v/>
      </c>
      <c r="E497" s="210" t="str">
        <f t="shared" si="15"/>
        <v/>
      </c>
      <c r="F497" s="210"/>
      <c r="G497" s="210"/>
      <c r="H497" s="210"/>
      <c r="I497" s="210"/>
      <c r="J497" s="210"/>
      <c r="K497" s="210"/>
      <c r="L497" s="210"/>
      <c r="M497" s="210"/>
      <c r="N497" s="210"/>
      <c r="O497" s="196"/>
    </row>
    <row r="498" spans="1:15" s="212" customFormat="1" ht="15.75">
      <c r="A498" s="209" t="str">
        <f ca="1">IF(ISNA(VLOOKUP(D498,'Standard Smelter Names'!$B$3:$E$165,4,FALSE)),"",VLOOKUP(D498,'Standard Smelter Names'!$B$3:$E$165,4,FALSE))</f>
        <v/>
      </c>
      <c r="B498" s="210"/>
      <c r="C498" s="211"/>
      <c r="D498" s="211" t="str">
        <f t="shared" si="14"/>
        <v/>
      </c>
      <c r="E498" s="210" t="str">
        <f t="shared" si="15"/>
        <v/>
      </c>
      <c r="F498" s="210"/>
      <c r="G498" s="210"/>
      <c r="H498" s="210"/>
      <c r="I498" s="210"/>
      <c r="J498" s="210"/>
      <c r="K498" s="210"/>
      <c r="L498" s="210"/>
      <c r="M498" s="210"/>
      <c r="N498" s="210"/>
      <c r="O498" s="196"/>
    </row>
    <row r="499" spans="1:15" s="212" customFormat="1" ht="15.75">
      <c r="A499" s="209" t="str">
        <f ca="1">IF(ISNA(VLOOKUP(D499,'Standard Smelter Names'!$B$3:$E$165,4,FALSE)),"",VLOOKUP(D499,'Standard Smelter Names'!$B$3:$E$165,4,FALSE))</f>
        <v/>
      </c>
      <c r="B499" s="210"/>
      <c r="C499" s="211"/>
      <c r="D499" s="211" t="str">
        <f t="shared" si="14"/>
        <v/>
      </c>
      <c r="E499" s="210" t="str">
        <f t="shared" si="15"/>
        <v/>
      </c>
      <c r="F499" s="210"/>
      <c r="G499" s="210"/>
      <c r="H499" s="210"/>
      <c r="I499" s="210"/>
      <c r="J499" s="210"/>
      <c r="K499" s="210"/>
      <c r="L499" s="210"/>
      <c r="M499" s="210"/>
      <c r="N499" s="210"/>
      <c r="O499" s="196"/>
    </row>
    <row r="500" spans="1:15" s="212" customFormat="1" ht="15.75">
      <c r="A500" s="209" t="str">
        <f ca="1">IF(ISNA(VLOOKUP(D500,'Standard Smelter Names'!$B$3:$E$165,4,FALSE)),"",VLOOKUP(D500,'Standard Smelter Names'!$B$3:$E$165,4,FALSE))</f>
        <v/>
      </c>
      <c r="B500" s="210"/>
      <c r="C500" s="211"/>
      <c r="D500" s="211" t="str">
        <f t="shared" si="14"/>
        <v/>
      </c>
      <c r="E500" s="210" t="str">
        <f t="shared" si="15"/>
        <v/>
      </c>
      <c r="F500" s="210"/>
      <c r="G500" s="210"/>
      <c r="H500" s="210"/>
      <c r="I500" s="210"/>
      <c r="J500" s="210"/>
      <c r="K500" s="210"/>
      <c r="L500" s="210"/>
      <c r="M500" s="210"/>
      <c r="N500" s="210"/>
      <c r="O500" s="196"/>
    </row>
    <row r="501" spans="1:15" s="212" customFormat="1" ht="15.75">
      <c r="A501" s="209" t="str">
        <f ca="1">IF(ISNA(VLOOKUP(D501,'Standard Smelter Names'!$B$3:$E$165,4,FALSE)),"",VLOOKUP(D501,'Standard Smelter Names'!$B$3:$E$165,4,FALSE))</f>
        <v/>
      </c>
      <c r="B501" s="210"/>
      <c r="C501" s="211"/>
      <c r="D501" s="211" t="str">
        <f t="shared" si="14"/>
        <v/>
      </c>
      <c r="E501" s="210" t="str">
        <f t="shared" si="15"/>
        <v/>
      </c>
      <c r="F501" s="210"/>
      <c r="G501" s="210"/>
      <c r="H501" s="210"/>
      <c r="I501" s="210"/>
      <c r="J501" s="210"/>
      <c r="K501" s="210"/>
      <c r="L501" s="210"/>
      <c r="M501" s="210"/>
      <c r="N501" s="210"/>
      <c r="O501" s="196"/>
    </row>
    <row r="502" spans="1:15" s="212" customFormat="1" ht="15.75">
      <c r="A502" s="209" t="str">
        <f ca="1">IF(ISNA(VLOOKUP(D502,'Standard Smelter Names'!$B$3:$E$165,4,FALSE)),"",VLOOKUP(D502,'Standard Smelter Names'!$B$3:$E$165,4,FALSE))</f>
        <v/>
      </c>
      <c r="B502" s="210"/>
      <c r="C502" s="211"/>
      <c r="D502" s="211" t="str">
        <f t="shared" si="14"/>
        <v/>
      </c>
      <c r="E502" s="210" t="str">
        <f t="shared" si="15"/>
        <v/>
      </c>
      <c r="F502" s="210"/>
      <c r="G502" s="210"/>
      <c r="H502" s="210"/>
      <c r="I502" s="210"/>
      <c r="J502" s="210"/>
      <c r="K502" s="210"/>
      <c r="L502" s="210"/>
      <c r="M502" s="210"/>
      <c r="N502" s="210"/>
      <c r="O502" s="196"/>
    </row>
    <row r="503" spans="1:15" s="212" customFormat="1" ht="15.75">
      <c r="A503" s="209" t="str">
        <f ca="1">IF(ISNA(VLOOKUP(D503,'Standard Smelter Names'!$B$3:$E$165,4,FALSE)),"",VLOOKUP(D503,'Standard Smelter Names'!$B$3:$E$165,4,FALSE))</f>
        <v/>
      </c>
      <c r="B503" s="210"/>
      <c r="C503" s="211"/>
      <c r="D503" s="211" t="str">
        <f t="shared" si="14"/>
        <v/>
      </c>
      <c r="E503" s="210" t="str">
        <f t="shared" si="15"/>
        <v/>
      </c>
      <c r="F503" s="210"/>
      <c r="G503" s="210"/>
      <c r="H503" s="210"/>
      <c r="I503" s="210"/>
      <c r="J503" s="210"/>
      <c r="K503" s="210"/>
      <c r="L503" s="210"/>
      <c r="M503" s="210"/>
      <c r="N503" s="210"/>
      <c r="O503" s="196"/>
    </row>
    <row r="504" spans="1:15" s="212" customFormat="1" ht="15.75">
      <c r="A504" s="209" t="str">
        <f ca="1">IF(ISNA(VLOOKUP(D504,'Standard Smelter Names'!$B$3:$E$165,4,FALSE)),"",VLOOKUP(D504,'Standard Smelter Names'!$B$3:$E$165,4,FALSE))</f>
        <v/>
      </c>
      <c r="B504" s="210"/>
      <c r="C504" s="211"/>
      <c r="D504" s="211" t="str">
        <f t="shared" si="14"/>
        <v/>
      </c>
      <c r="E504" s="210" t="str">
        <f t="shared" si="15"/>
        <v/>
      </c>
      <c r="F504" s="210"/>
      <c r="G504" s="210"/>
      <c r="H504" s="210"/>
      <c r="I504" s="210"/>
      <c r="J504" s="210"/>
      <c r="K504" s="210"/>
      <c r="L504" s="210"/>
      <c r="M504" s="210"/>
      <c r="N504" s="210"/>
      <c r="O504" s="196"/>
    </row>
    <row r="505" spans="1:15" s="212" customFormat="1" ht="15.75">
      <c r="A505" s="209" t="str">
        <f ca="1">IF(ISNA(VLOOKUP(D505,'Standard Smelter Names'!$B$3:$E$165,4,FALSE)),"",VLOOKUP(D505,'Standard Smelter Names'!$B$3:$E$165,4,FALSE))</f>
        <v/>
      </c>
      <c r="B505" s="210"/>
      <c r="C505" s="211"/>
      <c r="D505" s="211" t="str">
        <f t="shared" si="14"/>
        <v/>
      </c>
      <c r="E505" s="210" t="str">
        <f t="shared" si="15"/>
        <v/>
      </c>
      <c r="F505" s="210"/>
      <c r="G505" s="210"/>
      <c r="H505" s="210"/>
      <c r="I505" s="210"/>
      <c r="J505" s="210"/>
      <c r="K505" s="210"/>
      <c r="L505" s="210"/>
      <c r="M505" s="210"/>
      <c r="N505" s="210"/>
      <c r="O505" s="196"/>
    </row>
    <row r="506" spans="1:15" s="212" customFormat="1" ht="15.75">
      <c r="A506" s="209" t="str">
        <f ca="1">IF(ISNA(VLOOKUP(D506,'Standard Smelter Names'!$B$3:$E$165,4,FALSE)),"",VLOOKUP(D506,'Standard Smelter Names'!$B$3:$E$165,4,FALSE))</f>
        <v/>
      </c>
      <c r="B506" s="210"/>
      <c r="C506" s="211"/>
      <c r="D506" s="211" t="str">
        <f t="shared" si="14"/>
        <v/>
      </c>
      <c r="E506" s="210" t="str">
        <f t="shared" si="15"/>
        <v/>
      </c>
      <c r="F506" s="210"/>
      <c r="G506" s="210"/>
      <c r="H506" s="210"/>
      <c r="I506" s="210"/>
      <c r="J506" s="210"/>
      <c r="K506" s="210"/>
      <c r="L506" s="210"/>
      <c r="M506" s="210"/>
      <c r="N506" s="210"/>
      <c r="O506" s="196"/>
    </row>
    <row r="507" spans="1:15" s="212" customFormat="1" ht="15.75">
      <c r="A507" s="209" t="str">
        <f ca="1">IF(ISNA(VLOOKUP(D507,'Standard Smelter Names'!$B$3:$E$165,4,FALSE)),"",VLOOKUP(D507,'Standard Smelter Names'!$B$3:$E$165,4,FALSE))</f>
        <v/>
      </c>
      <c r="B507" s="210"/>
      <c r="C507" s="211"/>
      <c r="D507" s="211" t="str">
        <f t="shared" si="14"/>
        <v/>
      </c>
      <c r="E507" s="210" t="str">
        <f t="shared" si="15"/>
        <v/>
      </c>
      <c r="F507" s="210"/>
      <c r="G507" s="210"/>
      <c r="H507" s="210"/>
      <c r="I507" s="210"/>
      <c r="J507" s="210"/>
      <c r="K507" s="210"/>
      <c r="L507" s="210"/>
      <c r="M507" s="210"/>
      <c r="N507" s="210"/>
      <c r="O507" s="196"/>
    </row>
    <row r="508" spans="1:15" s="212" customFormat="1" ht="15.75">
      <c r="A508" s="209" t="str">
        <f ca="1">IF(ISNA(VLOOKUP(D508,'Standard Smelter Names'!$B$3:$E$165,4,FALSE)),"",VLOOKUP(D508,'Standard Smelter Names'!$B$3:$E$165,4,FALSE))</f>
        <v/>
      </c>
      <c r="B508" s="210"/>
      <c r="C508" s="211"/>
      <c r="D508" s="211" t="str">
        <f t="shared" si="14"/>
        <v/>
      </c>
      <c r="E508" s="210" t="str">
        <f t="shared" si="15"/>
        <v/>
      </c>
      <c r="F508" s="210"/>
      <c r="G508" s="210"/>
      <c r="H508" s="210"/>
      <c r="I508" s="210"/>
      <c r="J508" s="210"/>
      <c r="K508" s="210"/>
      <c r="L508" s="210"/>
      <c r="M508" s="210"/>
      <c r="N508" s="210"/>
      <c r="O508" s="196"/>
    </row>
    <row r="509" spans="1:15" s="212" customFormat="1" ht="15.75">
      <c r="A509" s="209" t="str">
        <f ca="1">IF(ISNA(VLOOKUP(D509,'Standard Smelter Names'!$B$3:$E$165,4,FALSE)),"",VLOOKUP(D509,'Standard Smelter Names'!$B$3:$E$165,4,FALSE))</f>
        <v/>
      </c>
      <c r="B509" s="210"/>
      <c r="C509" s="211"/>
      <c r="D509" s="211" t="str">
        <f t="shared" si="14"/>
        <v/>
      </c>
      <c r="E509" s="210" t="str">
        <f t="shared" si="15"/>
        <v/>
      </c>
      <c r="F509" s="210"/>
      <c r="G509" s="210"/>
      <c r="H509" s="210"/>
      <c r="I509" s="210"/>
      <c r="J509" s="210"/>
      <c r="K509" s="210"/>
      <c r="L509" s="210"/>
      <c r="M509" s="210"/>
      <c r="N509" s="210"/>
      <c r="O509" s="196"/>
    </row>
    <row r="510" spans="1:15" s="212" customFormat="1" ht="15.75">
      <c r="A510" s="209" t="str">
        <f ca="1">IF(ISNA(VLOOKUP(D510,'Standard Smelter Names'!$B$3:$E$165,4,FALSE)),"",VLOOKUP(D510,'Standard Smelter Names'!$B$3:$E$165,4,FALSE))</f>
        <v/>
      </c>
      <c r="B510" s="210"/>
      <c r="C510" s="211"/>
      <c r="D510" s="211" t="str">
        <f t="shared" si="14"/>
        <v/>
      </c>
      <c r="E510" s="210" t="str">
        <f t="shared" si="15"/>
        <v/>
      </c>
      <c r="F510" s="210"/>
      <c r="G510" s="210"/>
      <c r="H510" s="210"/>
      <c r="I510" s="210"/>
      <c r="J510" s="210"/>
      <c r="K510" s="210"/>
      <c r="L510" s="210"/>
      <c r="M510" s="210"/>
      <c r="N510" s="210"/>
      <c r="O510" s="196"/>
    </row>
    <row r="511" spans="1:15" s="212" customFormat="1" ht="15.75">
      <c r="A511" s="209" t="str">
        <f ca="1">IF(ISNA(VLOOKUP(D511,'Standard Smelter Names'!$B$3:$E$165,4,FALSE)),"",VLOOKUP(D511,'Standard Smelter Names'!$B$3:$E$165,4,FALSE))</f>
        <v/>
      </c>
      <c r="B511" s="210"/>
      <c r="C511" s="211"/>
      <c r="D511" s="211" t="str">
        <f t="shared" si="14"/>
        <v/>
      </c>
      <c r="E511" s="210" t="str">
        <f t="shared" si="15"/>
        <v/>
      </c>
      <c r="F511" s="210"/>
      <c r="G511" s="210"/>
      <c r="H511" s="210"/>
      <c r="I511" s="210"/>
      <c r="J511" s="210"/>
      <c r="K511" s="210"/>
      <c r="L511" s="210"/>
      <c r="M511" s="210"/>
      <c r="N511" s="210"/>
      <c r="O511" s="196"/>
    </row>
    <row r="512" spans="1:15" s="212" customFormat="1" ht="15.75">
      <c r="A512" s="209" t="str">
        <f ca="1">IF(ISNA(VLOOKUP(D512,'Standard Smelter Names'!$B$3:$E$165,4,FALSE)),"",VLOOKUP(D512,'Standard Smelter Names'!$B$3:$E$165,4,FALSE))</f>
        <v/>
      </c>
      <c r="B512" s="210"/>
      <c r="C512" s="211"/>
      <c r="D512" s="211" t="str">
        <f t="shared" si="14"/>
        <v/>
      </c>
      <c r="E512" s="210" t="str">
        <f t="shared" si="15"/>
        <v/>
      </c>
      <c r="F512" s="210"/>
      <c r="G512" s="210"/>
      <c r="H512" s="210"/>
      <c r="I512" s="210"/>
      <c r="J512" s="210"/>
      <c r="K512" s="210"/>
      <c r="L512" s="210"/>
      <c r="M512" s="210"/>
      <c r="N512" s="210"/>
      <c r="O512" s="196"/>
    </row>
    <row r="513" spans="1:15" s="212" customFormat="1" ht="15.75">
      <c r="A513" s="209" t="str">
        <f ca="1">IF(ISNA(VLOOKUP(D513,'Standard Smelter Names'!$B$3:$E$165,4,FALSE)),"",VLOOKUP(D513,'Standard Smelter Names'!$B$3:$E$165,4,FALSE))</f>
        <v/>
      </c>
      <c r="B513" s="210"/>
      <c r="C513" s="211"/>
      <c r="D513" s="211" t="str">
        <f t="shared" si="14"/>
        <v/>
      </c>
      <c r="E513" s="210" t="str">
        <f t="shared" si="15"/>
        <v/>
      </c>
      <c r="F513" s="210"/>
      <c r="G513" s="210"/>
      <c r="H513" s="210"/>
      <c r="I513" s="210"/>
      <c r="J513" s="210"/>
      <c r="K513" s="210"/>
      <c r="L513" s="210"/>
      <c r="M513" s="210"/>
      <c r="N513" s="210"/>
      <c r="O513" s="196"/>
    </row>
    <row r="514" spans="1:15" s="212" customFormat="1" ht="15.75">
      <c r="A514" s="209" t="str">
        <f ca="1">IF(ISNA(VLOOKUP(D514,'Standard Smelter Names'!$B$3:$E$165,4,FALSE)),"",VLOOKUP(D514,'Standard Smelter Names'!$B$3:$E$165,4,FALSE))</f>
        <v/>
      </c>
      <c r="B514" s="210"/>
      <c r="C514" s="211"/>
      <c r="D514" s="211" t="str">
        <f t="shared" si="14"/>
        <v/>
      </c>
      <c r="E514" s="210" t="str">
        <f t="shared" si="15"/>
        <v/>
      </c>
      <c r="F514" s="210"/>
      <c r="G514" s="210"/>
      <c r="H514" s="210"/>
      <c r="I514" s="210"/>
      <c r="J514" s="210"/>
      <c r="K514" s="210"/>
      <c r="L514" s="210"/>
      <c r="M514" s="210"/>
      <c r="N514" s="210"/>
      <c r="O514" s="196"/>
    </row>
    <row r="515" spans="1:15" s="212" customFormat="1" ht="15.75">
      <c r="A515" s="209" t="str">
        <f ca="1">IF(ISNA(VLOOKUP(D515,'Standard Smelter Names'!$B$3:$E$165,4,FALSE)),"",VLOOKUP(D515,'Standard Smelter Names'!$B$3:$E$165,4,FALSE))</f>
        <v/>
      </c>
      <c r="B515" s="210"/>
      <c r="C515" s="211"/>
      <c r="D515" s="211" t="str">
        <f t="shared" si="14"/>
        <v/>
      </c>
      <c r="E515" s="210" t="str">
        <f t="shared" si="15"/>
        <v/>
      </c>
      <c r="F515" s="210"/>
      <c r="G515" s="210"/>
      <c r="H515" s="210"/>
      <c r="I515" s="210"/>
      <c r="J515" s="210"/>
      <c r="K515" s="210"/>
      <c r="L515" s="210"/>
      <c r="M515" s="210"/>
      <c r="N515" s="210"/>
      <c r="O515" s="196"/>
    </row>
    <row r="516" spans="1:15" s="212" customFormat="1" ht="15.75">
      <c r="A516" s="209" t="str">
        <f ca="1">IF(ISNA(VLOOKUP(D516,'Standard Smelter Names'!$B$3:$E$165,4,FALSE)),"",VLOOKUP(D516,'Standard Smelter Names'!$B$3:$E$165,4,FALSE))</f>
        <v/>
      </c>
      <c r="B516" s="210"/>
      <c r="C516" s="211"/>
      <c r="D516" s="211" t="str">
        <f t="shared" si="14"/>
        <v/>
      </c>
      <c r="E516" s="210" t="str">
        <f t="shared" si="15"/>
        <v/>
      </c>
      <c r="F516" s="210"/>
      <c r="G516" s="210"/>
      <c r="H516" s="210"/>
      <c r="I516" s="210"/>
      <c r="J516" s="210"/>
      <c r="K516" s="210"/>
      <c r="L516" s="210"/>
      <c r="M516" s="210"/>
      <c r="N516" s="210"/>
      <c r="O516" s="196"/>
    </row>
    <row r="517" spans="1:15" s="212" customFormat="1" ht="15.75">
      <c r="A517" s="209" t="str">
        <f ca="1">IF(ISNA(VLOOKUP(D517,'Standard Smelter Names'!$B$3:$E$165,4,FALSE)),"",VLOOKUP(D517,'Standard Smelter Names'!$B$3:$E$165,4,FALSE))</f>
        <v/>
      </c>
      <c r="B517" s="210"/>
      <c r="C517" s="211"/>
      <c r="D517" s="211" t="str">
        <f t="shared" ref="D517:D580" si="16">IF(ISNA(VLOOKUP(C517,$G$1023:$I$1379,3,FALSE)),"",VLOOKUP(C517,$G$1023:$I$1379,3,FALSE))</f>
        <v/>
      </c>
      <c r="E517" s="210" t="str">
        <f t="shared" ref="E517:E580" si="17">IF(ISNA(VLOOKUP(C517,$G$1023:$I$1379,2,FALSE)),"",VLOOKUP(C517,$G$1023:$I$1379,2,FALSE))</f>
        <v/>
      </c>
      <c r="F517" s="210"/>
      <c r="G517" s="210"/>
      <c r="H517" s="210"/>
      <c r="I517" s="210"/>
      <c r="J517" s="210"/>
      <c r="K517" s="210"/>
      <c r="L517" s="210"/>
      <c r="M517" s="210"/>
      <c r="N517" s="210"/>
      <c r="O517" s="196"/>
    </row>
    <row r="518" spans="1:15" s="212" customFormat="1" ht="15.75">
      <c r="A518" s="209" t="str">
        <f ca="1">IF(ISNA(VLOOKUP(D518,'Standard Smelter Names'!$B$3:$E$165,4,FALSE)),"",VLOOKUP(D518,'Standard Smelter Names'!$B$3:$E$165,4,FALSE))</f>
        <v/>
      </c>
      <c r="B518" s="210"/>
      <c r="C518" s="211"/>
      <c r="D518" s="211" t="str">
        <f t="shared" si="16"/>
        <v/>
      </c>
      <c r="E518" s="210" t="str">
        <f t="shared" si="17"/>
        <v/>
      </c>
      <c r="F518" s="210"/>
      <c r="G518" s="210"/>
      <c r="H518" s="210"/>
      <c r="I518" s="210"/>
      <c r="J518" s="210"/>
      <c r="K518" s="210"/>
      <c r="L518" s="210"/>
      <c r="M518" s="210"/>
      <c r="N518" s="210"/>
      <c r="O518" s="196"/>
    </row>
    <row r="519" spans="1:15" s="212" customFormat="1" ht="15.75">
      <c r="A519" s="209" t="str">
        <f ca="1">IF(ISNA(VLOOKUP(D519,'Standard Smelter Names'!$B$3:$E$165,4,FALSE)),"",VLOOKUP(D519,'Standard Smelter Names'!$B$3:$E$165,4,FALSE))</f>
        <v/>
      </c>
      <c r="B519" s="210"/>
      <c r="C519" s="211"/>
      <c r="D519" s="211" t="str">
        <f t="shared" si="16"/>
        <v/>
      </c>
      <c r="E519" s="210" t="str">
        <f t="shared" si="17"/>
        <v/>
      </c>
      <c r="F519" s="210"/>
      <c r="G519" s="210"/>
      <c r="H519" s="210"/>
      <c r="I519" s="210"/>
      <c r="J519" s="210"/>
      <c r="K519" s="210"/>
      <c r="L519" s="210"/>
      <c r="M519" s="210"/>
      <c r="N519" s="210"/>
      <c r="O519" s="196"/>
    </row>
    <row r="520" spans="1:15" s="212" customFormat="1" ht="15.75">
      <c r="A520" s="209" t="str">
        <f ca="1">IF(ISNA(VLOOKUP(D520,'Standard Smelter Names'!$B$3:$E$165,4,FALSE)),"",VLOOKUP(D520,'Standard Smelter Names'!$B$3:$E$165,4,FALSE))</f>
        <v/>
      </c>
      <c r="B520" s="210"/>
      <c r="C520" s="211"/>
      <c r="D520" s="211" t="str">
        <f t="shared" si="16"/>
        <v/>
      </c>
      <c r="E520" s="210" t="str">
        <f t="shared" si="17"/>
        <v/>
      </c>
      <c r="F520" s="210"/>
      <c r="G520" s="210"/>
      <c r="H520" s="210"/>
      <c r="I520" s="210"/>
      <c r="J520" s="210"/>
      <c r="K520" s="210"/>
      <c r="L520" s="210"/>
      <c r="M520" s="210"/>
      <c r="N520" s="210"/>
      <c r="O520" s="196"/>
    </row>
    <row r="521" spans="1:15" s="212" customFormat="1" ht="15.75">
      <c r="A521" s="209" t="str">
        <f ca="1">IF(ISNA(VLOOKUP(D521,'Standard Smelter Names'!$B$3:$E$165,4,FALSE)),"",VLOOKUP(D521,'Standard Smelter Names'!$B$3:$E$165,4,FALSE))</f>
        <v/>
      </c>
      <c r="B521" s="210"/>
      <c r="C521" s="211"/>
      <c r="D521" s="211" t="str">
        <f t="shared" si="16"/>
        <v/>
      </c>
      <c r="E521" s="210" t="str">
        <f t="shared" si="17"/>
        <v/>
      </c>
      <c r="F521" s="210"/>
      <c r="G521" s="210"/>
      <c r="H521" s="210"/>
      <c r="I521" s="210"/>
      <c r="J521" s="210"/>
      <c r="K521" s="210"/>
      <c r="L521" s="210"/>
      <c r="M521" s="210"/>
      <c r="N521" s="210"/>
      <c r="O521" s="196"/>
    </row>
    <row r="522" spans="1:15" s="212" customFormat="1" ht="15.75">
      <c r="A522" s="209" t="str">
        <f ca="1">IF(ISNA(VLOOKUP(D522,'Standard Smelter Names'!$B$3:$E$165,4,FALSE)),"",VLOOKUP(D522,'Standard Smelter Names'!$B$3:$E$165,4,FALSE))</f>
        <v/>
      </c>
      <c r="B522" s="210"/>
      <c r="C522" s="211"/>
      <c r="D522" s="211" t="str">
        <f t="shared" si="16"/>
        <v/>
      </c>
      <c r="E522" s="210" t="str">
        <f t="shared" si="17"/>
        <v/>
      </c>
      <c r="F522" s="210"/>
      <c r="G522" s="210"/>
      <c r="H522" s="210"/>
      <c r="I522" s="210"/>
      <c r="J522" s="210"/>
      <c r="K522" s="210"/>
      <c r="L522" s="210"/>
      <c r="M522" s="210"/>
      <c r="N522" s="210"/>
      <c r="O522" s="196"/>
    </row>
    <row r="523" spans="1:15" s="212" customFormat="1" ht="15.75">
      <c r="A523" s="209" t="str">
        <f ca="1">IF(ISNA(VLOOKUP(D523,'Standard Smelter Names'!$B$3:$E$165,4,FALSE)),"",VLOOKUP(D523,'Standard Smelter Names'!$B$3:$E$165,4,FALSE))</f>
        <v/>
      </c>
      <c r="B523" s="210"/>
      <c r="C523" s="211"/>
      <c r="D523" s="211" t="str">
        <f t="shared" si="16"/>
        <v/>
      </c>
      <c r="E523" s="210" t="str">
        <f t="shared" si="17"/>
        <v/>
      </c>
      <c r="F523" s="210"/>
      <c r="G523" s="210"/>
      <c r="H523" s="210"/>
      <c r="I523" s="210"/>
      <c r="J523" s="210"/>
      <c r="K523" s="210"/>
      <c r="L523" s="210"/>
      <c r="M523" s="210"/>
      <c r="N523" s="210"/>
      <c r="O523" s="196"/>
    </row>
    <row r="524" spans="1:15" s="212" customFormat="1" ht="15.75">
      <c r="A524" s="209" t="str">
        <f ca="1">IF(ISNA(VLOOKUP(D524,'Standard Smelter Names'!$B$3:$E$165,4,FALSE)),"",VLOOKUP(D524,'Standard Smelter Names'!$B$3:$E$165,4,FALSE))</f>
        <v/>
      </c>
      <c r="B524" s="210"/>
      <c r="C524" s="211"/>
      <c r="D524" s="211" t="str">
        <f t="shared" si="16"/>
        <v/>
      </c>
      <c r="E524" s="210" t="str">
        <f t="shared" si="17"/>
        <v/>
      </c>
      <c r="F524" s="210"/>
      <c r="G524" s="210"/>
      <c r="H524" s="210"/>
      <c r="I524" s="210"/>
      <c r="J524" s="210"/>
      <c r="K524" s="210"/>
      <c r="L524" s="210"/>
      <c r="M524" s="210"/>
      <c r="N524" s="210"/>
      <c r="O524" s="196"/>
    </row>
    <row r="525" spans="1:15" s="212" customFormat="1" ht="15.75">
      <c r="A525" s="209" t="str">
        <f ca="1">IF(ISNA(VLOOKUP(D525,'Standard Smelter Names'!$B$3:$E$165,4,FALSE)),"",VLOOKUP(D525,'Standard Smelter Names'!$B$3:$E$165,4,FALSE))</f>
        <v/>
      </c>
      <c r="B525" s="210"/>
      <c r="C525" s="211"/>
      <c r="D525" s="211" t="str">
        <f t="shared" si="16"/>
        <v/>
      </c>
      <c r="E525" s="210" t="str">
        <f t="shared" si="17"/>
        <v/>
      </c>
      <c r="F525" s="210"/>
      <c r="G525" s="210"/>
      <c r="H525" s="210"/>
      <c r="I525" s="210"/>
      <c r="J525" s="210"/>
      <c r="K525" s="210"/>
      <c r="L525" s="210"/>
      <c r="M525" s="210"/>
      <c r="N525" s="210"/>
      <c r="O525" s="196"/>
    </row>
    <row r="526" spans="1:15" s="212" customFormat="1" ht="15.75">
      <c r="A526" s="209" t="str">
        <f ca="1">IF(ISNA(VLOOKUP(D526,'Standard Smelter Names'!$B$3:$E$165,4,FALSE)),"",VLOOKUP(D526,'Standard Smelter Names'!$B$3:$E$165,4,FALSE))</f>
        <v/>
      </c>
      <c r="B526" s="210"/>
      <c r="C526" s="211"/>
      <c r="D526" s="211" t="str">
        <f t="shared" si="16"/>
        <v/>
      </c>
      <c r="E526" s="210" t="str">
        <f t="shared" si="17"/>
        <v/>
      </c>
      <c r="F526" s="210"/>
      <c r="G526" s="210"/>
      <c r="H526" s="210"/>
      <c r="I526" s="210"/>
      <c r="J526" s="210"/>
      <c r="K526" s="210"/>
      <c r="L526" s="210"/>
      <c r="M526" s="210"/>
      <c r="N526" s="210"/>
      <c r="O526" s="196"/>
    </row>
    <row r="527" spans="1:15" s="212" customFormat="1" ht="15.75">
      <c r="A527" s="209" t="str">
        <f ca="1">IF(ISNA(VLOOKUP(D527,'Standard Smelter Names'!$B$3:$E$165,4,FALSE)),"",VLOOKUP(D527,'Standard Smelter Names'!$B$3:$E$165,4,FALSE))</f>
        <v/>
      </c>
      <c r="B527" s="210"/>
      <c r="C527" s="211"/>
      <c r="D527" s="211" t="str">
        <f t="shared" si="16"/>
        <v/>
      </c>
      <c r="E527" s="210" t="str">
        <f t="shared" si="17"/>
        <v/>
      </c>
      <c r="F527" s="210"/>
      <c r="G527" s="210"/>
      <c r="H527" s="210"/>
      <c r="I527" s="210"/>
      <c r="J527" s="210"/>
      <c r="K527" s="210"/>
      <c r="L527" s="210"/>
      <c r="M527" s="210"/>
      <c r="N527" s="210"/>
      <c r="O527" s="196"/>
    </row>
    <row r="528" spans="1:15" s="212" customFormat="1" ht="15.75">
      <c r="A528" s="209" t="str">
        <f ca="1">IF(ISNA(VLOOKUP(D528,'Standard Smelter Names'!$B$3:$E$165,4,FALSE)),"",VLOOKUP(D528,'Standard Smelter Names'!$B$3:$E$165,4,FALSE))</f>
        <v/>
      </c>
      <c r="B528" s="210"/>
      <c r="C528" s="211"/>
      <c r="D528" s="211" t="str">
        <f t="shared" si="16"/>
        <v/>
      </c>
      <c r="E528" s="210" t="str">
        <f t="shared" si="17"/>
        <v/>
      </c>
      <c r="F528" s="210"/>
      <c r="G528" s="210"/>
      <c r="H528" s="210"/>
      <c r="I528" s="210"/>
      <c r="J528" s="210"/>
      <c r="K528" s="210"/>
      <c r="L528" s="210"/>
      <c r="M528" s="210"/>
      <c r="N528" s="210"/>
      <c r="O528" s="196"/>
    </row>
    <row r="529" spans="1:15" s="212" customFormat="1" ht="15.75">
      <c r="A529" s="209" t="str">
        <f ca="1">IF(ISNA(VLOOKUP(D529,'Standard Smelter Names'!$B$3:$E$165,4,FALSE)),"",VLOOKUP(D529,'Standard Smelter Names'!$B$3:$E$165,4,FALSE))</f>
        <v/>
      </c>
      <c r="B529" s="210"/>
      <c r="C529" s="211"/>
      <c r="D529" s="211" t="str">
        <f t="shared" si="16"/>
        <v/>
      </c>
      <c r="E529" s="210" t="str">
        <f t="shared" si="17"/>
        <v/>
      </c>
      <c r="F529" s="210"/>
      <c r="G529" s="210"/>
      <c r="H529" s="210"/>
      <c r="I529" s="210"/>
      <c r="J529" s="210"/>
      <c r="K529" s="210"/>
      <c r="L529" s="210"/>
      <c r="M529" s="210"/>
      <c r="N529" s="210"/>
      <c r="O529" s="196"/>
    </row>
    <row r="530" spans="1:15" s="212" customFormat="1" ht="15.75">
      <c r="A530" s="209" t="str">
        <f ca="1">IF(ISNA(VLOOKUP(D530,'Standard Smelter Names'!$B$3:$E$165,4,FALSE)),"",VLOOKUP(D530,'Standard Smelter Names'!$B$3:$E$165,4,FALSE))</f>
        <v/>
      </c>
      <c r="B530" s="210"/>
      <c r="C530" s="211"/>
      <c r="D530" s="211" t="str">
        <f t="shared" si="16"/>
        <v/>
      </c>
      <c r="E530" s="210" t="str">
        <f t="shared" si="17"/>
        <v/>
      </c>
      <c r="F530" s="210"/>
      <c r="G530" s="210"/>
      <c r="H530" s="210"/>
      <c r="I530" s="210"/>
      <c r="J530" s="210"/>
      <c r="K530" s="210"/>
      <c r="L530" s="210"/>
      <c r="M530" s="210"/>
      <c r="N530" s="210"/>
      <c r="O530" s="196"/>
    </row>
    <row r="531" spans="1:15" s="212" customFormat="1" ht="15.75">
      <c r="A531" s="209" t="str">
        <f ca="1">IF(ISNA(VLOOKUP(D531,'Standard Smelter Names'!$B$3:$E$165,4,FALSE)),"",VLOOKUP(D531,'Standard Smelter Names'!$B$3:$E$165,4,FALSE))</f>
        <v/>
      </c>
      <c r="B531" s="210"/>
      <c r="C531" s="211"/>
      <c r="D531" s="211" t="str">
        <f t="shared" si="16"/>
        <v/>
      </c>
      <c r="E531" s="210" t="str">
        <f t="shared" si="17"/>
        <v/>
      </c>
      <c r="F531" s="210"/>
      <c r="G531" s="210"/>
      <c r="H531" s="210"/>
      <c r="I531" s="210"/>
      <c r="J531" s="210"/>
      <c r="K531" s="210"/>
      <c r="L531" s="210"/>
      <c r="M531" s="210"/>
      <c r="N531" s="210"/>
      <c r="O531" s="196"/>
    </row>
    <row r="532" spans="1:15" s="212" customFormat="1" ht="15.75">
      <c r="A532" s="209" t="str">
        <f ca="1">IF(ISNA(VLOOKUP(D532,'Standard Smelter Names'!$B$3:$E$165,4,FALSE)),"",VLOOKUP(D532,'Standard Smelter Names'!$B$3:$E$165,4,FALSE))</f>
        <v/>
      </c>
      <c r="B532" s="210"/>
      <c r="C532" s="211"/>
      <c r="D532" s="211" t="str">
        <f t="shared" si="16"/>
        <v/>
      </c>
      <c r="E532" s="210" t="str">
        <f t="shared" si="17"/>
        <v/>
      </c>
      <c r="F532" s="210"/>
      <c r="G532" s="210"/>
      <c r="H532" s="210"/>
      <c r="I532" s="210"/>
      <c r="J532" s="210"/>
      <c r="K532" s="210"/>
      <c r="L532" s="210"/>
      <c r="M532" s="210"/>
      <c r="N532" s="210"/>
      <c r="O532" s="196"/>
    </row>
    <row r="533" spans="1:15" s="212" customFormat="1" ht="15.75">
      <c r="A533" s="209" t="str">
        <f ca="1">IF(ISNA(VLOOKUP(D533,'Standard Smelter Names'!$B$3:$E$165,4,FALSE)),"",VLOOKUP(D533,'Standard Smelter Names'!$B$3:$E$165,4,FALSE))</f>
        <v/>
      </c>
      <c r="B533" s="210"/>
      <c r="C533" s="211"/>
      <c r="D533" s="211" t="str">
        <f t="shared" si="16"/>
        <v/>
      </c>
      <c r="E533" s="210" t="str">
        <f t="shared" si="17"/>
        <v/>
      </c>
      <c r="F533" s="210"/>
      <c r="G533" s="210"/>
      <c r="H533" s="210"/>
      <c r="I533" s="210"/>
      <c r="J533" s="210"/>
      <c r="K533" s="210"/>
      <c r="L533" s="210"/>
      <c r="M533" s="210"/>
      <c r="N533" s="210"/>
      <c r="O533" s="196"/>
    </row>
    <row r="534" spans="1:15" s="212" customFormat="1" ht="15.75">
      <c r="A534" s="209" t="str">
        <f ca="1">IF(ISNA(VLOOKUP(D534,'Standard Smelter Names'!$B$3:$E$165,4,FALSE)),"",VLOOKUP(D534,'Standard Smelter Names'!$B$3:$E$165,4,FALSE))</f>
        <v/>
      </c>
      <c r="B534" s="210"/>
      <c r="C534" s="211"/>
      <c r="D534" s="211" t="str">
        <f t="shared" si="16"/>
        <v/>
      </c>
      <c r="E534" s="210" t="str">
        <f t="shared" si="17"/>
        <v/>
      </c>
      <c r="F534" s="210"/>
      <c r="G534" s="210"/>
      <c r="H534" s="210"/>
      <c r="I534" s="210"/>
      <c r="J534" s="210"/>
      <c r="K534" s="210"/>
      <c r="L534" s="210"/>
      <c r="M534" s="210"/>
      <c r="N534" s="210"/>
      <c r="O534" s="196"/>
    </row>
    <row r="535" spans="1:15" s="212" customFormat="1" ht="15.75">
      <c r="A535" s="209" t="str">
        <f ca="1">IF(ISNA(VLOOKUP(D535,'Standard Smelter Names'!$B$3:$E$165,4,FALSE)),"",VLOOKUP(D535,'Standard Smelter Names'!$B$3:$E$165,4,FALSE))</f>
        <v/>
      </c>
      <c r="B535" s="210"/>
      <c r="C535" s="211"/>
      <c r="D535" s="211" t="str">
        <f t="shared" si="16"/>
        <v/>
      </c>
      <c r="E535" s="210" t="str">
        <f t="shared" si="17"/>
        <v/>
      </c>
      <c r="F535" s="210"/>
      <c r="G535" s="210"/>
      <c r="H535" s="210"/>
      <c r="I535" s="210"/>
      <c r="J535" s="210"/>
      <c r="K535" s="210"/>
      <c r="L535" s="210"/>
      <c r="M535" s="210"/>
      <c r="N535" s="210"/>
      <c r="O535" s="196"/>
    </row>
    <row r="536" spans="1:15" s="212" customFormat="1" ht="15.75">
      <c r="A536" s="209" t="str">
        <f ca="1">IF(ISNA(VLOOKUP(D536,'Standard Smelter Names'!$B$3:$E$165,4,FALSE)),"",VLOOKUP(D536,'Standard Smelter Names'!$B$3:$E$165,4,FALSE))</f>
        <v/>
      </c>
      <c r="B536" s="210"/>
      <c r="C536" s="211"/>
      <c r="D536" s="211" t="str">
        <f t="shared" si="16"/>
        <v/>
      </c>
      <c r="E536" s="210" t="str">
        <f t="shared" si="17"/>
        <v/>
      </c>
      <c r="F536" s="210"/>
      <c r="G536" s="210"/>
      <c r="H536" s="210"/>
      <c r="I536" s="210"/>
      <c r="J536" s="210"/>
      <c r="K536" s="210"/>
      <c r="L536" s="210"/>
      <c r="M536" s="210"/>
      <c r="N536" s="210"/>
      <c r="O536" s="196"/>
    </row>
    <row r="537" spans="1:15" s="212" customFormat="1" ht="15.75">
      <c r="A537" s="209" t="str">
        <f ca="1">IF(ISNA(VLOOKUP(D537,'Standard Smelter Names'!$B$3:$E$165,4,FALSE)),"",VLOOKUP(D537,'Standard Smelter Names'!$B$3:$E$165,4,FALSE))</f>
        <v/>
      </c>
      <c r="B537" s="210"/>
      <c r="C537" s="211"/>
      <c r="D537" s="211" t="str">
        <f t="shared" si="16"/>
        <v/>
      </c>
      <c r="E537" s="210" t="str">
        <f t="shared" si="17"/>
        <v/>
      </c>
      <c r="F537" s="210"/>
      <c r="G537" s="210"/>
      <c r="H537" s="210"/>
      <c r="I537" s="210"/>
      <c r="J537" s="210"/>
      <c r="K537" s="210"/>
      <c r="L537" s="210"/>
      <c r="M537" s="210"/>
      <c r="N537" s="210"/>
      <c r="O537" s="196"/>
    </row>
    <row r="538" spans="1:15" s="212" customFormat="1" ht="15.75">
      <c r="A538" s="209" t="str">
        <f ca="1">IF(ISNA(VLOOKUP(D538,'Standard Smelter Names'!$B$3:$E$165,4,FALSE)),"",VLOOKUP(D538,'Standard Smelter Names'!$B$3:$E$165,4,FALSE))</f>
        <v/>
      </c>
      <c r="B538" s="210"/>
      <c r="C538" s="211"/>
      <c r="D538" s="211" t="str">
        <f t="shared" si="16"/>
        <v/>
      </c>
      <c r="E538" s="210" t="str">
        <f t="shared" si="17"/>
        <v/>
      </c>
      <c r="F538" s="210"/>
      <c r="G538" s="210"/>
      <c r="H538" s="210"/>
      <c r="I538" s="210"/>
      <c r="J538" s="210"/>
      <c r="K538" s="210"/>
      <c r="L538" s="210"/>
      <c r="M538" s="210"/>
      <c r="N538" s="210"/>
      <c r="O538" s="196"/>
    </row>
    <row r="539" spans="1:15" s="212" customFormat="1" ht="15.75">
      <c r="A539" s="209" t="str">
        <f ca="1">IF(ISNA(VLOOKUP(D539,'Standard Smelter Names'!$B$3:$E$165,4,FALSE)),"",VLOOKUP(D539,'Standard Smelter Names'!$B$3:$E$165,4,FALSE))</f>
        <v/>
      </c>
      <c r="B539" s="210"/>
      <c r="C539" s="211"/>
      <c r="D539" s="211" t="str">
        <f t="shared" si="16"/>
        <v/>
      </c>
      <c r="E539" s="210" t="str">
        <f t="shared" si="17"/>
        <v/>
      </c>
      <c r="F539" s="210"/>
      <c r="G539" s="210"/>
      <c r="H539" s="210"/>
      <c r="I539" s="210"/>
      <c r="J539" s="210"/>
      <c r="K539" s="210"/>
      <c r="L539" s="210"/>
      <c r="M539" s="210"/>
      <c r="N539" s="210"/>
      <c r="O539" s="196"/>
    </row>
    <row r="540" spans="1:15" s="212" customFormat="1" ht="15.75">
      <c r="A540" s="209" t="str">
        <f ca="1">IF(ISNA(VLOOKUP(D540,'Standard Smelter Names'!$B$3:$E$165,4,FALSE)),"",VLOOKUP(D540,'Standard Smelter Names'!$B$3:$E$165,4,FALSE))</f>
        <v/>
      </c>
      <c r="B540" s="210"/>
      <c r="C540" s="211"/>
      <c r="D540" s="211" t="str">
        <f t="shared" si="16"/>
        <v/>
      </c>
      <c r="E540" s="210" t="str">
        <f t="shared" si="17"/>
        <v/>
      </c>
      <c r="F540" s="210"/>
      <c r="G540" s="210"/>
      <c r="H540" s="210"/>
      <c r="I540" s="210"/>
      <c r="J540" s="210"/>
      <c r="K540" s="210"/>
      <c r="L540" s="210"/>
      <c r="M540" s="210"/>
      <c r="N540" s="210"/>
      <c r="O540" s="196"/>
    </row>
    <row r="541" spans="1:15" s="212" customFormat="1" ht="15.75">
      <c r="A541" s="209" t="str">
        <f ca="1">IF(ISNA(VLOOKUP(D541,'Standard Smelter Names'!$B$3:$E$165,4,FALSE)),"",VLOOKUP(D541,'Standard Smelter Names'!$B$3:$E$165,4,FALSE))</f>
        <v/>
      </c>
      <c r="B541" s="210"/>
      <c r="C541" s="211"/>
      <c r="D541" s="211" t="str">
        <f t="shared" si="16"/>
        <v/>
      </c>
      <c r="E541" s="210" t="str">
        <f t="shared" si="17"/>
        <v/>
      </c>
      <c r="F541" s="210"/>
      <c r="G541" s="210"/>
      <c r="H541" s="210"/>
      <c r="I541" s="210"/>
      <c r="J541" s="210"/>
      <c r="K541" s="210"/>
      <c r="L541" s="210"/>
      <c r="M541" s="210"/>
      <c r="N541" s="210"/>
      <c r="O541" s="196"/>
    </row>
    <row r="542" spans="1:15" s="212" customFormat="1" ht="15.75">
      <c r="A542" s="209" t="str">
        <f ca="1">IF(ISNA(VLOOKUP(D542,'Standard Smelter Names'!$B$3:$E$165,4,FALSE)),"",VLOOKUP(D542,'Standard Smelter Names'!$B$3:$E$165,4,FALSE))</f>
        <v/>
      </c>
      <c r="B542" s="210"/>
      <c r="C542" s="211"/>
      <c r="D542" s="211" t="str">
        <f t="shared" si="16"/>
        <v/>
      </c>
      <c r="E542" s="210" t="str">
        <f t="shared" si="17"/>
        <v/>
      </c>
      <c r="F542" s="210"/>
      <c r="G542" s="210"/>
      <c r="H542" s="210"/>
      <c r="I542" s="210"/>
      <c r="J542" s="210"/>
      <c r="K542" s="210"/>
      <c r="L542" s="210"/>
      <c r="M542" s="210"/>
      <c r="N542" s="210"/>
      <c r="O542" s="196"/>
    </row>
    <row r="543" spans="1:15" s="212" customFormat="1" ht="15.75">
      <c r="A543" s="209" t="str">
        <f ca="1">IF(ISNA(VLOOKUP(D543,'Standard Smelter Names'!$B$3:$E$165,4,FALSE)),"",VLOOKUP(D543,'Standard Smelter Names'!$B$3:$E$165,4,FALSE))</f>
        <v/>
      </c>
      <c r="B543" s="210"/>
      <c r="C543" s="211"/>
      <c r="D543" s="211" t="str">
        <f t="shared" si="16"/>
        <v/>
      </c>
      <c r="E543" s="210" t="str">
        <f t="shared" si="17"/>
        <v/>
      </c>
      <c r="F543" s="210"/>
      <c r="G543" s="210"/>
      <c r="H543" s="210"/>
      <c r="I543" s="210"/>
      <c r="J543" s="210"/>
      <c r="K543" s="210"/>
      <c r="L543" s="210"/>
      <c r="M543" s="210"/>
      <c r="N543" s="210"/>
      <c r="O543" s="196"/>
    </row>
    <row r="544" spans="1:15" s="212" customFormat="1" ht="15.75">
      <c r="A544" s="209" t="str">
        <f ca="1">IF(ISNA(VLOOKUP(D544,'Standard Smelter Names'!$B$3:$E$165,4,FALSE)),"",VLOOKUP(D544,'Standard Smelter Names'!$B$3:$E$165,4,FALSE))</f>
        <v/>
      </c>
      <c r="B544" s="210"/>
      <c r="C544" s="211"/>
      <c r="D544" s="211" t="str">
        <f t="shared" si="16"/>
        <v/>
      </c>
      <c r="E544" s="210" t="str">
        <f t="shared" si="17"/>
        <v/>
      </c>
      <c r="F544" s="210"/>
      <c r="G544" s="210"/>
      <c r="H544" s="210"/>
      <c r="I544" s="210"/>
      <c r="J544" s="210"/>
      <c r="K544" s="210"/>
      <c r="L544" s="210"/>
      <c r="M544" s="210"/>
      <c r="N544" s="210"/>
      <c r="O544" s="196"/>
    </row>
    <row r="545" spans="1:15" s="212" customFormat="1" ht="15.75">
      <c r="A545" s="209" t="str">
        <f ca="1">IF(ISNA(VLOOKUP(D545,'Standard Smelter Names'!$B$3:$E$165,4,FALSE)),"",VLOOKUP(D545,'Standard Smelter Names'!$B$3:$E$165,4,FALSE))</f>
        <v/>
      </c>
      <c r="B545" s="210"/>
      <c r="C545" s="211"/>
      <c r="D545" s="211" t="str">
        <f t="shared" si="16"/>
        <v/>
      </c>
      <c r="E545" s="210" t="str">
        <f t="shared" si="17"/>
        <v/>
      </c>
      <c r="F545" s="210"/>
      <c r="G545" s="210"/>
      <c r="H545" s="210"/>
      <c r="I545" s="210"/>
      <c r="J545" s="210"/>
      <c r="K545" s="210"/>
      <c r="L545" s="210"/>
      <c r="M545" s="210"/>
      <c r="N545" s="210"/>
      <c r="O545" s="196"/>
    </row>
    <row r="546" spans="1:15" s="212" customFormat="1" ht="15.75">
      <c r="A546" s="209" t="str">
        <f ca="1">IF(ISNA(VLOOKUP(D546,'Standard Smelter Names'!$B$3:$E$165,4,FALSE)),"",VLOOKUP(D546,'Standard Smelter Names'!$B$3:$E$165,4,FALSE))</f>
        <v/>
      </c>
      <c r="B546" s="210"/>
      <c r="C546" s="211"/>
      <c r="D546" s="211" t="str">
        <f t="shared" si="16"/>
        <v/>
      </c>
      <c r="E546" s="210" t="str">
        <f t="shared" si="17"/>
        <v/>
      </c>
      <c r="F546" s="210"/>
      <c r="G546" s="210"/>
      <c r="H546" s="210"/>
      <c r="I546" s="210"/>
      <c r="J546" s="210"/>
      <c r="K546" s="210"/>
      <c r="L546" s="210"/>
      <c r="M546" s="210"/>
      <c r="N546" s="210"/>
      <c r="O546" s="196"/>
    </row>
    <row r="547" spans="1:15" s="212" customFormat="1" ht="15.75">
      <c r="A547" s="209" t="str">
        <f ca="1">IF(ISNA(VLOOKUP(D547,'Standard Smelter Names'!$B$3:$E$165,4,FALSE)),"",VLOOKUP(D547,'Standard Smelter Names'!$B$3:$E$165,4,FALSE))</f>
        <v/>
      </c>
      <c r="B547" s="210"/>
      <c r="C547" s="211"/>
      <c r="D547" s="211" t="str">
        <f t="shared" si="16"/>
        <v/>
      </c>
      <c r="E547" s="210" t="str">
        <f t="shared" si="17"/>
        <v/>
      </c>
      <c r="F547" s="210"/>
      <c r="G547" s="210"/>
      <c r="H547" s="210"/>
      <c r="I547" s="210"/>
      <c r="J547" s="210"/>
      <c r="K547" s="210"/>
      <c r="L547" s="210"/>
      <c r="M547" s="210"/>
      <c r="N547" s="210"/>
      <c r="O547" s="196"/>
    </row>
    <row r="548" spans="1:15" s="212" customFormat="1" ht="15.75">
      <c r="A548" s="209" t="str">
        <f ca="1">IF(ISNA(VLOOKUP(D548,'Standard Smelter Names'!$B$3:$E$165,4,FALSE)),"",VLOOKUP(D548,'Standard Smelter Names'!$B$3:$E$165,4,FALSE))</f>
        <v/>
      </c>
      <c r="B548" s="210"/>
      <c r="C548" s="211"/>
      <c r="D548" s="211" t="str">
        <f t="shared" si="16"/>
        <v/>
      </c>
      <c r="E548" s="210" t="str">
        <f t="shared" si="17"/>
        <v/>
      </c>
      <c r="F548" s="210"/>
      <c r="G548" s="210"/>
      <c r="H548" s="210"/>
      <c r="I548" s="210"/>
      <c r="J548" s="210"/>
      <c r="K548" s="210"/>
      <c r="L548" s="210"/>
      <c r="M548" s="210"/>
      <c r="N548" s="210"/>
      <c r="O548" s="196"/>
    </row>
    <row r="549" spans="1:15" s="212" customFormat="1" ht="15.75">
      <c r="A549" s="209" t="str">
        <f ca="1">IF(ISNA(VLOOKUP(D549,'Standard Smelter Names'!$B$3:$E$165,4,FALSE)),"",VLOOKUP(D549,'Standard Smelter Names'!$B$3:$E$165,4,FALSE))</f>
        <v/>
      </c>
      <c r="B549" s="210"/>
      <c r="C549" s="211"/>
      <c r="D549" s="211" t="str">
        <f t="shared" si="16"/>
        <v/>
      </c>
      <c r="E549" s="210" t="str">
        <f t="shared" si="17"/>
        <v/>
      </c>
      <c r="F549" s="210"/>
      <c r="G549" s="210"/>
      <c r="H549" s="210"/>
      <c r="I549" s="210"/>
      <c r="J549" s="210"/>
      <c r="K549" s="210"/>
      <c r="L549" s="210"/>
      <c r="M549" s="210"/>
      <c r="N549" s="210"/>
      <c r="O549" s="196"/>
    </row>
    <row r="550" spans="1:15" s="212" customFormat="1" ht="15.75">
      <c r="A550" s="209" t="str">
        <f ca="1">IF(ISNA(VLOOKUP(D550,'Standard Smelter Names'!$B$3:$E$165,4,FALSE)),"",VLOOKUP(D550,'Standard Smelter Names'!$B$3:$E$165,4,FALSE))</f>
        <v/>
      </c>
      <c r="B550" s="210"/>
      <c r="C550" s="211"/>
      <c r="D550" s="211" t="str">
        <f t="shared" si="16"/>
        <v/>
      </c>
      <c r="E550" s="210" t="str">
        <f t="shared" si="17"/>
        <v/>
      </c>
      <c r="F550" s="210"/>
      <c r="G550" s="210"/>
      <c r="H550" s="210"/>
      <c r="I550" s="210"/>
      <c r="J550" s="210"/>
      <c r="K550" s="210"/>
      <c r="L550" s="210"/>
      <c r="M550" s="210"/>
      <c r="N550" s="210"/>
      <c r="O550" s="196"/>
    </row>
    <row r="551" spans="1:15" s="212" customFormat="1" ht="15.75">
      <c r="A551" s="209" t="str">
        <f ca="1">IF(ISNA(VLOOKUP(D551,'Standard Smelter Names'!$B$3:$E$165,4,FALSE)),"",VLOOKUP(D551,'Standard Smelter Names'!$B$3:$E$165,4,FALSE))</f>
        <v/>
      </c>
      <c r="B551" s="210"/>
      <c r="C551" s="211"/>
      <c r="D551" s="211" t="str">
        <f t="shared" si="16"/>
        <v/>
      </c>
      <c r="E551" s="210" t="str">
        <f t="shared" si="17"/>
        <v/>
      </c>
      <c r="F551" s="210"/>
      <c r="G551" s="210"/>
      <c r="H551" s="210"/>
      <c r="I551" s="210"/>
      <c r="J551" s="210"/>
      <c r="K551" s="210"/>
      <c r="L551" s="210"/>
      <c r="M551" s="210"/>
      <c r="N551" s="210"/>
      <c r="O551" s="196"/>
    </row>
    <row r="552" spans="1:15" s="212" customFormat="1" ht="15.75">
      <c r="A552" s="209" t="str">
        <f ca="1">IF(ISNA(VLOOKUP(D552,'Standard Smelter Names'!$B$3:$E$165,4,FALSE)),"",VLOOKUP(D552,'Standard Smelter Names'!$B$3:$E$165,4,FALSE))</f>
        <v/>
      </c>
      <c r="B552" s="210"/>
      <c r="C552" s="211"/>
      <c r="D552" s="211" t="str">
        <f t="shared" si="16"/>
        <v/>
      </c>
      <c r="E552" s="210" t="str">
        <f t="shared" si="17"/>
        <v/>
      </c>
      <c r="F552" s="210"/>
      <c r="G552" s="210"/>
      <c r="H552" s="210"/>
      <c r="I552" s="210"/>
      <c r="J552" s="210"/>
      <c r="K552" s="210"/>
      <c r="L552" s="210"/>
      <c r="M552" s="210"/>
      <c r="N552" s="210"/>
      <c r="O552" s="196"/>
    </row>
    <row r="553" spans="1:15" s="212" customFormat="1" ht="15.75">
      <c r="A553" s="209" t="str">
        <f ca="1">IF(ISNA(VLOOKUP(D553,'Standard Smelter Names'!$B$3:$E$165,4,FALSE)),"",VLOOKUP(D553,'Standard Smelter Names'!$B$3:$E$165,4,FALSE))</f>
        <v/>
      </c>
      <c r="B553" s="210"/>
      <c r="C553" s="211"/>
      <c r="D553" s="211" t="str">
        <f t="shared" si="16"/>
        <v/>
      </c>
      <c r="E553" s="210" t="str">
        <f t="shared" si="17"/>
        <v/>
      </c>
      <c r="F553" s="210"/>
      <c r="G553" s="210"/>
      <c r="H553" s="210"/>
      <c r="I553" s="210"/>
      <c r="J553" s="210"/>
      <c r="K553" s="210"/>
      <c r="L553" s="210"/>
      <c r="M553" s="210"/>
      <c r="N553" s="210"/>
      <c r="O553" s="196"/>
    </row>
    <row r="554" spans="1:15" s="212" customFormat="1" ht="15.75">
      <c r="A554" s="209" t="str">
        <f ca="1">IF(ISNA(VLOOKUP(D554,'Standard Smelter Names'!$B$3:$E$165,4,FALSE)),"",VLOOKUP(D554,'Standard Smelter Names'!$B$3:$E$165,4,FALSE))</f>
        <v/>
      </c>
      <c r="B554" s="210"/>
      <c r="C554" s="211"/>
      <c r="D554" s="211" t="str">
        <f t="shared" si="16"/>
        <v/>
      </c>
      <c r="E554" s="210" t="str">
        <f t="shared" si="17"/>
        <v/>
      </c>
      <c r="F554" s="210"/>
      <c r="G554" s="210"/>
      <c r="H554" s="210"/>
      <c r="I554" s="210"/>
      <c r="J554" s="210"/>
      <c r="K554" s="210"/>
      <c r="L554" s="210"/>
      <c r="M554" s="210"/>
      <c r="N554" s="210"/>
      <c r="O554" s="196"/>
    </row>
    <row r="555" spans="1:15" s="212" customFormat="1" ht="15.75">
      <c r="A555" s="209" t="str">
        <f ca="1">IF(ISNA(VLOOKUP(D555,'Standard Smelter Names'!$B$3:$E$165,4,FALSE)),"",VLOOKUP(D555,'Standard Smelter Names'!$B$3:$E$165,4,FALSE))</f>
        <v/>
      </c>
      <c r="B555" s="210"/>
      <c r="C555" s="211"/>
      <c r="D555" s="211" t="str">
        <f t="shared" si="16"/>
        <v/>
      </c>
      <c r="E555" s="210" t="str">
        <f t="shared" si="17"/>
        <v/>
      </c>
      <c r="F555" s="210"/>
      <c r="G555" s="210"/>
      <c r="H555" s="210"/>
      <c r="I555" s="210"/>
      <c r="J555" s="210"/>
      <c r="K555" s="210"/>
      <c r="L555" s="210"/>
      <c r="M555" s="210"/>
      <c r="N555" s="210"/>
      <c r="O555" s="196"/>
    </row>
    <row r="556" spans="1:15" s="212" customFormat="1" ht="15.75">
      <c r="A556" s="209" t="str">
        <f ca="1">IF(ISNA(VLOOKUP(D556,'Standard Smelter Names'!$B$3:$E$165,4,FALSE)),"",VLOOKUP(D556,'Standard Smelter Names'!$B$3:$E$165,4,FALSE))</f>
        <v/>
      </c>
      <c r="B556" s="210"/>
      <c r="C556" s="211"/>
      <c r="D556" s="211" t="str">
        <f t="shared" si="16"/>
        <v/>
      </c>
      <c r="E556" s="210" t="str">
        <f t="shared" si="17"/>
        <v/>
      </c>
      <c r="F556" s="210"/>
      <c r="G556" s="210"/>
      <c r="H556" s="210"/>
      <c r="I556" s="210"/>
      <c r="J556" s="210"/>
      <c r="K556" s="210"/>
      <c r="L556" s="210"/>
      <c r="M556" s="210"/>
      <c r="N556" s="210"/>
      <c r="O556" s="196"/>
    </row>
    <row r="557" spans="1:15" s="212" customFormat="1" ht="15.75">
      <c r="A557" s="209" t="str">
        <f ca="1">IF(ISNA(VLOOKUP(D557,'Standard Smelter Names'!$B$3:$E$165,4,FALSE)),"",VLOOKUP(D557,'Standard Smelter Names'!$B$3:$E$165,4,FALSE))</f>
        <v/>
      </c>
      <c r="B557" s="210"/>
      <c r="C557" s="211"/>
      <c r="D557" s="211" t="str">
        <f t="shared" si="16"/>
        <v/>
      </c>
      <c r="E557" s="210" t="str">
        <f t="shared" si="17"/>
        <v/>
      </c>
      <c r="F557" s="210"/>
      <c r="G557" s="210"/>
      <c r="H557" s="210"/>
      <c r="I557" s="210"/>
      <c r="J557" s="210"/>
      <c r="K557" s="210"/>
      <c r="L557" s="210"/>
      <c r="M557" s="210"/>
      <c r="N557" s="210"/>
      <c r="O557" s="196"/>
    </row>
    <row r="558" spans="1:15" s="212" customFormat="1" ht="15.75">
      <c r="A558" s="209" t="str">
        <f ca="1">IF(ISNA(VLOOKUP(D558,'Standard Smelter Names'!$B$3:$E$165,4,FALSE)),"",VLOOKUP(D558,'Standard Smelter Names'!$B$3:$E$165,4,FALSE))</f>
        <v/>
      </c>
      <c r="B558" s="210"/>
      <c r="C558" s="211"/>
      <c r="D558" s="211" t="str">
        <f t="shared" si="16"/>
        <v/>
      </c>
      <c r="E558" s="210" t="str">
        <f t="shared" si="17"/>
        <v/>
      </c>
      <c r="F558" s="210"/>
      <c r="G558" s="210"/>
      <c r="H558" s="210"/>
      <c r="I558" s="210"/>
      <c r="J558" s="210"/>
      <c r="K558" s="210"/>
      <c r="L558" s="210"/>
      <c r="M558" s="210"/>
      <c r="N558" s="210"/>
      <c r="O558" s="196"/>
    </row>
    <row r="559" spans="1:15" s="212" customFormat="1" ht="15.75">
      <c r="A559" s="209" t="str">
        <f ca="1">IF(ISNA(VLOOKUP(D559,'Standard Smelter Names'!$B$3:$E$165,4,FALSE)),"",VLOOKUP(D559,'Standard Smelter Names'!$B$3:$E$165,4,FALSE))</f>
        <v/>
      </c>
      <c r="B559" s="210"/>
      <c r="C559" s="211"/>
      <c r="D559" s="211" t="str">
        <f t="shared" si="16"/>
        <v/>
      </c>
      <c r="E559" s="210" t="str">
        <f t="shared" si="17"/>
        <v/>
      </c>
      <c r="F559" s="210"/>
      <c r="G559" s="210"/>
      <c r="H559" s="210"/>
      <c r="I559" s="210"/>
      <c r="J559" s="210"/>
      <c r="K559" s="210"/>
      <c r="L559" s="210"/>
      <c r="M559" s="210"/>
      <c r="N559" s="210"/>
      <c r="O559" s="196"/>
    </row>
    <row r="560" spans="1:15" s="212" customFormat="1" ht="15.75">
      <c r="A560" s="209" t="str">
        <f ca="1">IF(ISNA(VLOOKUP(D560,'Standard Smelter Names'!$B$3:$E$165,4,FALSE)),"",VLOOKUP(D560,'Standard Smelter Names'!$B$3:$E$165,4,FALSE))</f>
        <v/>
      </c>
      <c r="B560" s="210"/>
      <c r="C560" s="211"/>
      <c r="D560" s="211" t="str">
        <f t="shared" si="16"/>
        <v/>
      </c>
      <c r="E560" s="210" t="str">
        <f t="shared" si="17"/>
        <v/>
      </c>
      <c r="F560" s="210"/>
      <c r="G560" s="210"/>
      <c r="H560" s="210"/>
      <c r="I560" s="210"/>
      <c r="J560" s="210"/>
      <c r="K560" s="210"/>
      <c r="L560" s="210"/>
      <c r="M560" s="210"/>
      <c r="N560" s="210"/>
      <c r="O560" s="196"/>
    </row>
    <row r="561" spans="1:15" s="212" customFormat="1" ht="15.75">
      <c r="A561" s="209" t="str">
        <f ca="1">IF(ISNA(VLOOKUP(D561,'Standard Smelter Names'!$B$3:$E$165,4,FALSE)),"",VLOOKUP(D561,'Standard Smelter Names'!$B$3:$E$165,4,FALSE))</f>
        <v/>
      </c>
      <c r="B561" s="210"/>
      <c r="C561" s="211"/>
      <c r="D561" s="211" t="str">
        <f t="shared" si="16"/>
        <v/>
      </c>
      <c r="E561" s="210" t="str">
        <f t="shared" si="17"/>
        <v/>
      </c>
      <c r="F561" s="210"/>
      <c r="G561" s="210"/>
      <c r="H561" s="210"/>
      <c r="I561" s="210"/>
      <c r="J561" s="210"/>
      <c r="K561" s="210"/>
      <c r="L561" s="210"/>
      <c r="M561" s="210"/>
      <c r="N561" s="210"/>
      <c r="O561" s="196"/>
    </row>
    <row r="562" spans="1:15" s="212" customFormat="1" ht="15.75">
      <c r="A562" s="209" t="str">
        <f ca="1">IF(ISNA(VLOOKUP(D562,'Standard Smelter Names'!$B$3:$E$165,4,FALSE)),"",VLOOKUP(D562,'Standard Smelter Names'!$B$3:$E$165,4,FALSE))</f>
        <v/>
      </c>
      <c r="B562" s="210"/>
      <c r="C562" s="211"/>
      <c r="D562" s="211" t="str">
        <f t="shared" si="16"/>
        <v/>
      </c>
      <c r="E562" s="210" t="str">
        <f t="shared" si="17"/>
        <v/>
      </c>
      <c r="F562" s="210"/>
      <c r="G562" s="210"/>
      <c r="H562" s="210"/>
      <c r="I562" s="210"/>
      <c r="J562" s="210"/>
      <c r="K562" s="210"/>
      <c r="L562" s="210"/>
      <c r="M562" s="210"/>
      <c r="N562" s="210"/>
      <c r="O562" s="196"/>
    </row>
    <row r="563" spans="1:15" s="212" customFormat="1" ht="15.75">
      <c r="A563" s="209" t="str">
        <f ca="1">IF(ISNA(VLOOKUP(D563,'Standard Smelter Names'!$B$3:$E$165,4,FALSE)),"",VLOOKUP(D563,'Standard Smelter Names'!$B$3:$E$165,4,FALSE))</f>
        <v/>
      </c>
      <c r="B563" s="210"/>
      <c r="C563" s="211"/>
      <c r="D563" s="211" t="str">
        <f t="shared" si="16"/>
        <v/>
      </c>
      <c r="E563" s="210" t="str">
        <f t="shared" si="17"/>
        <v/>
      </c>
      <c r="F563" s="210"/>
      <c r="G563" s="210"/>
      <c r="H563" s="210"/>
      <c r="I563" s="210"/>
      <c r="J563" s="210"/>
      <c r="K563" s="210"/>
      <c r="L563" s="210"/>
      <c r="M563" s="210"/>
      <c r="N563" s="210"/>
      <c r="O563" s="196"/>
    </row>
    <row r="564" spans="1:15" s="212" customFormat="1" ht="15.75">
      <c r="A564" s="209" t="str">
        <f ca="1">IF(ISNA(VLOOKUP(D564,'Standard Smelter Names'!$B$3:$E$165,4,FALSE)),"",VLOOKUP(D564,'Standard Smelter Names'!$B$3:$E$165,4,FALSE))</f>
        <v/>
      </c>
      <c r="B564" s="210"/>
      <c r="C564" s="211"/>
      <c r="D564" s="211" t="str">
        <f t="shared" si="16"/>
        <v/>
      </c>
      <c r="E564" s="210" t="str">
        <f t="shared" si="17"/>
        <v/>
      </c>
      <c r="F564" s="210"/>
      <c r="G564" s="210"/>
      <c r="H564" s="210"/>
      <c r="I564" s="210"/>
      <c r="J564" s="210"/>
      <c r="K564" s="210"/>
      <c r="L564" s="210"/>
      <c r="M564" s="210"/>
      <c r="N564" s="210"/>
      <c r="O564" s="196"/>
    </row>
    <row r="565" spans="1:15" s="212" customFormat="1" ht="15.75">
      <c r="A565" s="209" t="str">
        <f ca="1">IF(ISNA(VLOOKUP(D565,'Standard Smelter Names'!$B$3:$E$165,4,FALSE)),"",VLOOKUP(D565,'Standard Smelter Names'!$B$3:$E$165,4,FALSE))</f>
        <v/>
      </c>
      <c r="B565" s="210"/>
      <c r="C565" s="211"/>
      <c r="D565" s="211" t="str">
        <f t="shared" si="16"/>
        <v/>
      </c>
      <c r="E565" s="210" t="str">
        <f t="shared" si="17"/>
        <v/>
      </c>
      <c r="F565" s="210"/>
      <c r="G565" s="210"/>
      <c r="H565" s="210"/>
      <c r="I565" s="210"/>
      <c r="J565" s="210"/>
      <c r="K565" s="210"/>
      <c r="L565" s="210"/>
      <c r="M565" s="210"/>
      <c r="N565" s="210"/>
      <c r="O565" s="196"/>
    </row>
    <row r="566" spans="1:15" s="212" customFormat="1" ht="15.75">
      <c r="A566" s="209" t="str">
        <f ca="1">IF(ISNA(VLOOKUP(D566,'Standard Smelter Names'!$B$3:$E$165,4,FALSE)),"",VLOOKUP(D566,'Standard Smelter Names'!$B$3:$E$165,4,FALSE))</f>
        <v/>
      </c>
      <c r="B566" s="210"/>
      <c r="C566" s="211"/>
      <c r="D566" s="211" t="str">
        <f t="shared" si="16"/>
        <v/>
      </c>
      <c r="E566" s="210" t="str">
        <f t="shared" si="17"/>
        <v/>
      </c>
      <c r="F566" s="210"/>
      <c r="G566" s="210"/>
      <c r="H566" s="210"/>
      <c r="I566" s="210"/>
      <c r="J566" s="210"/>
      <c r="K566" s="210"/>
      <c r="L566" s="210"/>
      <c r="M566" s="210"/>
      <c r="N566" s="210"/>
      <c r="O566" s="196"/>
    </row>
    <row r="567" spans="1:15" s="212" customFormat="1" ht="15.75">
      <c r="A567" s="209" t="str">
        <f ca="1">IF(ISNA(VLOOKUP(D567,'Standard Smelter Names'!$B$3:$E$165,4,FALSE)),"",VLOOKUP(D567,'Standard Smelter Names'!$B$3:$E$165,4,FALSE))</f>
        <v/>
      </c>
      <c r="B567" s="210"/>
      <c r="C567" s="211"/>
      <c r="D567" s="211" t="str">
        <f t="shared" si="16"/>
        <v/>
      </c>
      <c r="E567" s="210" t="str">
        <f t="shared" si="17"/>
        <v/>
      </c>
      <c r="F567" s="210"/>
      <c r="G567" s="210"/>
      <c r="H567" s="210"/>
      <c r="I567" s="210"/>
      <c r="J567" s="210"/>
      <c r="K567" s="210"/>
      <c r="L567" s="210"/>
      <c r="M567" s="210"/>
      <c r="N567" s="210"/>
      <c r="O567" s="196"/>
    </row>
    <row r="568" spans="1:15" s="212" customFormat="1" ht="15.75">
      <c r="A568" s="209" t="str">
        <f ca="1">IF(ISNA(VLOOKUP(D568,'Standard Smelter Names'!$B$3:$E$165,4,FALSE)),"",VLOOKUP(D568,'Standard Smelter Names'!$B$3:$E$165,4,FALSE))</f>
        <v/>
      </c>
      <c r="B568" s="210"/>
      <c r="C568" s="211"/>
      <c r="D568" s="211" t="str">
        <f t="shared" si="16"/>
        <v/>
      </c>
      <c r="E568" s="210" t="str">
        <f t="shared" si="17"/>
        <v/>
      </c>
      <c r="F568" s="210"/>
      <c r="G568" s="210"/>
      <c r="H568" s="210"/>
      <c r="I568" s="210"/>
      <c r="J568" s="210"/>
      <c r="K568" s="210"/>
      <c r="L568" s="210"/>
      <c r="M568" s="210"/>
      <c r="N568" s="210"/>
      <c r="O568" s="196"/>
    </row>
    <row r="569" spans="1:15" s="212" customFormat="1" ht="15.75">
      <c r="A569" s="209" t="str">
        <f ca="1">IF(ISNA(VLOOKUP(D569,'Standard Smelter Names'!$B$3:$E$165,4,FALSE)),"",VLOOKUP(D569,'Standard Smelter Names'!$B$3:$E$165,4,FALSE))</f>
        <v/>
      </c>
      <c r="B569" s="210"/>
      <c r="C569" s="211"/>
      <c r="D569" s="211" t="str">
        <f t="shared" si="16"/>
        <v/>
      </c>
      <c r="E569" s="210" t="str">
        <f t="shared" si="17"/>
        <v/>
      </c>
      <c r="F569" s="210"/>
      <c r="G569" s="210"/>
      <c r="H569" s="210"/>
      <c r="I569" s="210"/>
      <c r="J569" s="210"/>
      <c r="K569" s="210"/>
      <c r="L569" s="210"/>
      <c r="M569" s="210"/>
      <c r="N569" s="210"/>
      <c r="O569" s="196"/>
    </row>
    <row r="570" spans="1:15" s="212" customFormat="1" ht="15.75">
      <c r="A570" s="209" t="str">
        <f ca="1">IF(ISNA(VLOOKUP(D570,'Standard Smelter Names'!$B$3:$E$165,4,FALSE)),"",VLOOKUP(D570,'Standard Smelter Names'!$B$3:$E$165,4,FALSE))</f>
        <v/>
      </c>
      <c r="B570" s="210"/>
      <c r="C570" s="211"/>
      <c r="D570" s="211" t="str">
        <f t="shared" si="16"/>
        <v/>
      </c>
      <c r="E570" s="210" t="str">
        <f t="shared" si="17"/>
        <v/>
      </c>
      <c r="F570" s="210"/>
      <c r="G570" s="210"/>
      <c r="H570" s="210"/>
      <c r="I570" s="210"/>
      <c r="J570" s="210"/>
      <c r="K570" s="210"/>
      <c r="L570" s="210"/>
      <c r="M570" s="210"/>
      <c r="N570" s="210"/>
      <c r="O570" s="196"/>
    </row>
    <row r="571" spans="1:15" s="212" customFormat="1" ht="15.75">
      <c r="A571" s="209" t="str">
        <f ca="1">IF(ISNA(VLOOKUP(D571,'Standard Smelter Names'!$B$3:$E$165,4,FALSE)),"",VLOOKUP(D571,'Standard Smelter Names'!$B$3:$E$165,4,FALSE))</f>
        <v/>
      </c>
      <c r="B571" s="210"/>
      <c r="C571" s="211"/>
      <c r="D571" s="211" t="str">
        <f t="shared" si="16"/>
        <v/>
      </c>
      <c r="E571" s="210" t="str">
        <f t="shared" si="17"/>
        <v/>
      </c>
      <c r="F571" s="210"/>
      <c r="G571" s="210"/>
      <c r="H571" s="210"/>
      <c r="I571" s="210"/>
      <c r="J571" s="210"/>
      <c r="K571" s="210"/>
      <c r="L571" s="210"/>
      <c r="M571" s="210"/>
      <c r="N571" s="210"/>
      <c r="O571" s="196"/>
    </row>
    <row r="572" spans="1:15" s="212" customFormat="1" ht="15.75">
      <c r="A572" s="209" t="str">
        <f ca="1">IF(ISNA(VLOOKUP(D572,'Standard Smelter Names'!$B$3:$E$165,4,FALSE)),"",VLOOKUP(D572,'Standard Smelter Names'!$B$3:$E$165,4,FALSE))</f>
        <v/>
      </c>
      <c r="B572" s="210"/>
      <c r="C572" s="211"/>
      <c r="D572" s="211" t="str">
        <f t="shared" si="16"/>
        <v/>
      </c>
      <c r="E572" s="210" t="str">
        <f t="shared" si="17"/>
        <v/>
      </c>
      <c r="F572" s="210"/>
      <c r="G572" s="210"/>
      <c r="H572" s="210"/>
      <c r="I572" s="210"/>
      <c r="J572" s="210"/>
      <c r="K572" s="210"/>
      <c r="L572" s="210"/>
      <c r="M572" s="210"/>
      <c r="N572" s="210"/>
      <c r="O572" s="196"/>
    </row>
    <row r="573" spans="1:15" s="212" customFormat="1" ht="15.75">
      <c r="A573" s="209" t="str">
        <f ca="1">IF(ISNA(VLOOKUP(D573,'Standard Smelter Names'!$B$3:$E$165,4,FALSE)),"",VLOOKUP(D573,'Standard Smelter Names'!$B$3:$E$165,4,FALSE))</f>
        <v/>
      </c>
      <c r="B573" s="210"/>
      <c r="C573" s="211"/>
      <c r="D573" s="211" t="str">
        <f t="shared" si="16"/>
        <v/>
      </c>
      <c r="E573" s="210" t="str">
        <f t="shared" si="17"/>
        <v/>
      </c>
      <c r="F573" s="210"/>
      <c r="G573" s="210"/>
      <c r="H573" s="210"/>
      <c r="I573" s="210"/>
      <c r="J573" s="210"/>
      <c r="K573" s="210"/>
      <c r="L573" s="210"/>
      <c r="M573" s="210"/>
      <c r="N573" s="210"/>
      <c r="O573" s="196"/>
    </row>
    <row r="574" spans="1:15" s="212" customFormat="1" ht="15.75">
      <c r="A574" s="209" t="str">
        <f ca="1">IF(ISNA(VLOOKUP(D574,'Standard Smelter Names'!$B$3:$E$165,4,FALSE)),"",VLOOKUP(D574,'Standard Smelter Names'!$B$3:$E$165,4,FALSE))</f>
        <v/>
      </c>
      <c r="B574" s="210"/>
      <c r="C574" s="211"/>
      <c r="D574" s="211" t="str">
        <f t="shared" si="16"/>
        <v/>
      </c>
      <c r="E574" s="210" t="str">
        <f t="shared" si="17"/>
        <v/>
      </c>
      <c r="F574" s="210"/>
      <c r="G574" s="210"/>
      <c r="H574" s="210"/>
      <c r="I574" s="210"/>
      <c r="J574" s="210"/>
      <c r="K574" s="210"/>
      <c r="L574" s="210"/>
      <c r="M574" s="210"/>
      <c r="N574" s="210"/>
      <c r="O574" s="196"/>
    </row>
    <row r="575" spans="1:15" s="212" customFormat="1" ht="15.75">
      <c r="A575" s="209" t="str">
        <f ca="1">IF(ISNA(VLOOKUP(D575,'Standard Smelter Names'!$B$3:$E$165,4,FALSE)),"",VLOOKUP(D575,'Standard Smelter Names'!$B$3:$E$165,4,FALSE))</f>
        <v/>
      </c>
      <c r="B575" s="210"/>
      <c r="C575" s="211"/>
      <c r="D575" s="211" t="str">
        <f t="shared" si="16"/>
        <v/>
      </c>
      <c r="E575" s="210" t="str">
        <f t="shared" si="17"/>
        <v/>
      </c>
      <c r="F575" s="210"/>
      <c r="G575" s="210"/>
      <c r="H575" s="210"/>
      <c r="I575" s="210"/>
      <c r="J575" s="210"/>
      <c r="K575" s="210"/>
      <c r="L575" s="210"/>
      <c r="M575" s="210"/>
      <c r="N575" s="210"/>
      <c r="O575" s="196"/>
    </row>
    <row r="576" spans="1:15" s="212" customFormat="1" ht="15.75">
      <c r="A576" s="209" t="str">
        <f ca="1">IF(ISNA(VLOOKUP(D576,'Standard Smelter Names'!$B$3:$E$165,4,FALSE)),"",VLOOKUP(D576,'Standard Smelter Names'!$B$3:$E$165,4,FALSE))</f>
        <v/>
      </c>
      <c r="B576" s="210"/>
      <c r="C576" s="211"/>
      <c r="D576" s="211" t="str">
        <f t="shared" si="16"/>
        <v/>
      </c>
      <c r="E576" s="210" t="str">
        <f t="shared" si="17"/>
        <v/>
      </c>
      <c r="F576" s="210"/>
      <c r="G576" s="210"/>
      <c r="H576" s="210"/>
      <c r="I576" s="210"/>
      <c r="J576" s="210"/>
      <c r="K576" s="210"/>
      <c r="L576" s="210"/>
      <c r="M576" s="210"/>
      <c r="N576" s="210"/>
      <c r="O576" s="196"/>
    </row>
    <row r="577" spans="1:15" s="212" customFormat="1" ht="15.75">
      <c r="A577" s="209" t="str">
        <f ca="1">IF(ISNA(VLOOKUP(D577,'Standard Smelter Names'!$B$3:$E$165,4,FALSE)),"",VLOOKUP(D577,'Standard Smelter Names'!$B$3:$E$165,4,FALSE))</f>
        <v/>
      </c>
      <c r="B577" s="210"/>
      <c r="C577" s="211"/>
      <c r="D577" s="211" t="str">
        <f t="shared" si="16"/>
        <v/>
      </c>
      <c r="E577" s="210" t="str">
        <f t="shared" si="17"/>
        <v/>
      </c>
      <c r="F577" s="210"/>
      <c r="G577" s="210"/>
      <c r="H577" s="210"/>
      <c r="I577" s="210"/>
      <c r="J577" s="210"/>
      <c r="K577" s="210"/>
      <c r="L577" s="210"/>
      <c r="M577" s="210"/>
      <c r="N577" s="210"/>
      <c r="O577" s="196"/>
    </row>
    <row r="578" spans="1:15" s="212" customFormat="1" ht="15.75">
      <c r="A578" s="209" t="str">
        <f ca="1">IF(ISNA(VLOOKUP(D578,'Standard Smelter Names'!$B$3:$E$165,4,FALSE)),"",VLOOKUP(D578,'Standard Smelter Names'!$B$3:$E$165,4,FALSE))</f>
        <v/>
      </c>
      <c r="B578" s="210"/>
      <c r="C578" s="211"/>
      <c r="D578" s="211" t="str">
        <f t="shared" si="16"/>
        <v/>
      </c>
      <c r="E578" s="210" t="str">
        <f t="shared" si="17"/>
        <v/>
      </c>
      <c r="F578" s="210"/>
      <c r="G578" s="210"/>
      <c r="H578" s="210"/>
      <c r="I578" s="210"/>
      <c r="J578" s="210"/>
      <c r="K578" s="210"/>
      <c r="L578" s="210"/>
      <c r="M578" s="210"/>
      <c r="N578" s="210"/>
      <c r="O578" s="196"/>
    </row>
    <row r="579" spans="1:15" s="212" customFormat="1" ht="15.75">
      <c r="A579" s="209" t="str">
        <f ca="1">IF(ISNA(VLOOKUP(D579,'Standard Smelter Names'!$B$3:$E$165,4,FALSE)),"",VLOOKUP(D579,'Standard Smelter Names'!$B$3:$E$165,4,FALSE))</f>
        <v/>
      </c>
      <c r="B579" s="210"/>
      <c r="C579" s="211"/>
      <c r="D579" s="211" t="str">
        <f t="shared" si="16"/>
        <v/>
      </c>
      <c r="E579" s="210" t="str">
        <f t="shared" si="17"/>
        <v/>
      </c>
      <c r="F579" s="210"/>
      <c r="G579" s="210"/>
      <c r="H579" s="210"/>
      <c r="I579" s="210"/>
      <c r="J579" s="210"/>
      <c r="K579" s="210"/>
      <c r="L579" s="210"/>
      <c r="M579" s="210"/>
      <c r="N579" s="210"/>
      <c r="O579" s="196"/>
    </row>
    <row r="580" spans="1:15" s="212" customFormat="1" ht="15.75">
      <c r="A580" s="209" t="str">
        <f ca="1">IF(ISNA(VLOOKUP(D580,'Standard Smelter Names'!$B$3:$E$165,4,FALSE)),"",VLOOKUP(D580,'Standard Smelter Names'!$B$3:$E$165,4,FALSE))</f>
        <v/>
      </c>
      <c r="B580" s="210"/>
      <c r="C580" s="211"/>
      <c r="D580" s="211" t="str">
        <f t="shared" si="16"/>
        <v/>
      </c>
      <c r="E580" s="210" t="str">
        <f t="shared" si="17"/>
        <v/>
      </c>
      <c r="F580" s="210"/>
      <c r="G580" s="210"/>
      <c r="H580" s="210"/>
      <c r="I580" s="210"/>
      <c r="J580" s="210"/>
      <c r="K580" s="210"/>
      <c r="L580" s="210"/>
      <c r="M580" s="210"/>
      <c r="N580" s="210"/>
      <c r="O580" s="196"/>
    </row>
    <row r="581" spans="1:15" s="212" customFormat="1" ht="15.75">
      <c r="A581" s="209" t="str">
        <f ca="1">IF(ISNA(VLOOKUP(D581,'Standard Smelter Names'!$B$3:$E$165,4,FALSE)),"",VLOOKUP(D581,'Standard Smelter Names'!$B$3:$E$165,4,FALSE))</f>
        <v/>
      </c>
      <c r="B581" s="210"/>
      <c r="C581" s="211"/>
      <c r="D581" s="211" t="str">
        <f t="shared" ref="D581:D644" si="18">IF(ISNA(VLOOKUP(C581,$G$1023:$I$1379,3,FALSE)),"",VLOOKUP(C581,$G$1023:$I$1379,3,FALSE))</f>
        <v/>
      </c>
      <c r="E581" s="210" t="str">
        <f t="shared" ref="E581:E644" si="19">IF(ISNA(VLOOKUP(C581,$G$1023:$I$1379,2,FALSE)),"",VLOOKUP(C581,$G$1023:$I$1379,2,FALSE))</f>
        <v/>
      </c>
      <c r="F581" s="210"/>
      <c r="G581" s="210"/>
      <c r="H581" s="210"/>
      <c r="I581" s="210"/>
      <c r="J581" s="210"/>
      <c r="K581" s="210"/>
      <c r="L581" s="210"/>
      <c r="M581" s="210"/>
      <c r="N581" s="210"/>
      <c r="O581" s="196"/>
    </row>
    <row r="582" spans="1:15" s="212" customFormat="1" ht="15.75">
      <c r="A582" s="209" t="str">
        <f ca="1">IF(ISNA(VLOOKUP(D582,'Standard Smelter Names'!$B$3:$E$165,4,FALSE)),"",VLOOKUP(D582,'Standard Smelter Names'!$B$3:$E$165,4,FALSE))</f>
        <v/>
      </c>
      <c r="B582" s="210"/>
      <c r="C582" s="211"/>
      <c r="D582" s="211" t="str">
        <f t="shared" si="18"/>
        <v/>
      </c>
      <c r="E582" s="210" t="str">
        <f t="shared" si="19"/>
        <v/>
      </c>
      <c r="F582" s="210"/>
      <c r="G582" s="210"/>
      <c r="H582" s="210"/>
      <c r="I582" s="210"/>
      <c r="J582" s="210"/>
      <c r="K582" s="210"/>
      <c r="L582" s="210"/>
      <c r="M582" s="210"/>
      <c r="N582" s="210"/>
      <c r="O582" s="196"/>
    </row>
    <row r="583" spans="1:15" s="212" customFormat="1" ht="15.75">
      <c r="A583" s="209" t="str">
        <f ca="1">IF(ISNA(VLOOKUP(D583,'Standard Smelter Names'!$B$3:$E$165,4,FALSE)),"",VLOOKUP(D583,'Standard Smelter Names'!$B$3:$E$165,4,FALSE))</f>
        <v/>
      </c>
      <c r="B583" s="210"/>
      <c r="C583" s="211"/>
      <c r="D583" s="211" t="str">
        <f t="shared" si="18"/>
        <v/>
      </c>
      <c r="E583" s="210" t="str">
        <f t="shared" si="19"/>
        <v/>
      </c>
      <c r="F583" s="210"/>
      <c r="G583" s="210"/>
      <c r="H583" s="210"/>
      <c r="I583" s="210"/>
      <c r="J583" s="210"/>
      <c r="K583" s="210"/>
      <c r="L583" s="210"/>
      <c r="M583" s="210"/>
      <c r="N583" s="210"/>
      <c r="O583" s="196"/>
    </row>
    <row r="584" spans="1:15" s="212" customFormat="1" ht="15.75">
      <c r="A584" s="209" t="str">
        <f ca="1">IF(ISNA(VLOOKUP(D584,'Standard Smelter Names'!$B$3:$E$165,4,FALSE)),"",VLOOKUP(D584,'Standard Smelter Names'!$B$3:$E$165,4,FALSE))</f>
        <v/>
      </c>
      <c r="B584" s="210"/>
      <c r="C584" s="211"/>
      <c r="D584" s="211" t="str">
        <f t="shared" si="18"/>
        <v/>
      </c>
      <c r="E584" s="210" t="str">
        <f t="shared" si="19"/>
        <v/>
      </c>
      <c r="F584" s="210"/>
      <c r="G584" s="210"/>
      <c r="H584" s="210"/>
      <c r="I584" s="210"/>
      <c r="J584" s="210"/>
      <c r="K584" s="210"/>
      <c r="L584" s="210"/>
      <c r="M584" s="210"/>
      <c r="N584" s="210"/>
      <c r="O584" s="196"/>
    </row>
    <row r="585" spans="1:15" s="212" customFormat="1" ht="15.75">
      <c r="A585" s="209" t="str">
        <f ca="1">IF(ISNA(VLOOKUP(D585,'Standard Smelter Names'!$B$3:$E$165,4,FALSE)),"",VLOOKUP(D585,'Standard Smelter Names'!$B$3:$E$165,4,FALSE))</f>
        <v/>
      </c>
      <c r="B585" s="210"/>
      <c r="C585" s="211"/>
      <c r="D585" s="211" t="str">
        <f t="shared" si="18"/>
        <v/>
      </c>
      <c r="E585" s="210" t="str">
        <f t="shared" si="19"/>
        <v/>
      </c>
      <c r="F585" s="210"/>
      <c r="G585" s="210"/>
      <c r="H585" s="210"/>
      <c r="I585" s="210"/>
      <c r="J585" s="210"/>
      <c r="K585" s="210"/>
      <c r="L585" s="210"/>
      <c r="M585" s="210"/>
      <c r="N585" s="210"/>
      <c r="O585" s="196"/>
    </row>
    <row r="586" spans="1:15" s="212" customFormat="1" ht="15.75">
      <c r="A586" s="209" t="str">
        <f ca="1">IF(ISNA(VLOOKUP(D586,'Standard Smelter Names'!$B$3:$E$165,4,FALSE)),"",VLOOKUP(D586,'Standard Smelter Names'!$B$3:$E$165,4,FALSE))</f>
        <v/>
      </c>
      <c r="B586" s="210"/>
      <c r="C586" s="211"/>
      <c r="D586" s="211" t="str">
        <f t="shared" si="18"/>
        <v/>
      </c>
      <c r="E586" s="210" t="str">
        <f t="shared" si="19"/>
        <v/>
      </c>
      <c r="F586" s="210"/>
      <c r="G586" s="210"/>
      <c r="H586" s="210"/>
      <c r="I586" s="210"/>
      <c r="J586" s="210"/>
      <c r="K586" s="210"/>
      <c r="L586" s="210"/>
      <c r="M586" s="210"/>
      <c r="N586" s="210"/>
      <c r="O586" s="196"/>
    </row>
    <row r="587" spans="1:15" s="212" customFormat="1" ht="15.75">
      <c r="A587" s="209" t="str">
        <f ca="1">IF(ISNA(VLOOKUP(D587,'Standard Smelter Names'!$B$3:$E$165,4,FALSE)),"",VLOOKUP(D587,'Standard Smelter Names'!$B$3:$E$165,4,FALSE))</f>
        <v/>
      </c>
      <c r="B587" s="210"/>
      <c r="C587" s="211"/>
      <c r="D587" s="211" t="str">
        <f t="shared" si="18"/>
        <v/>
      </c>
      <c r="E587" s="210" t="str">
        <f t="shared" si="19"/>
        <v/>
      </c>
      <c r="F587" s="210"/>
      <c r="G587" s="210"/>
      <c r="H587" s="210"/>
      <c r="I587" s="210"/>
      <c r="J587" s="210"/>
      <c r="K587" s="210"/>
      <c r="L587" s="210"/>
      <c r="M587" s="210"/>
      <c r="N587" s="210"/>
      <c r="O587" s="196"/>
    </row>
    <row r="588" spans="1:15" s="212" customFormat="1" ht="15.75">
      <c r="A588" s="209" t="str">
        <f ca="1">IF(ISNA(VLOOKUP(D588,'Standard Smelter Names'!$B$3:$E$165,4,FALSE)),"",VLOOKUP(D588,'Standard Smelter Names'!$B$3:$E$165,4,FALSE))</f>
        <v/>
      </c>
      <c r="B588" s="210"/>
      <c r="C588" s="211"/>
      <c r="D588" s="211" t="str">
        <f t="shared" si="18"/>
        <v/>
      </c>
      <c r="E588" s="210" t="str">
        <f t="shared" si="19"/>
        <v/>
      </c>
      <c r="F588" s="210"/>
      <c r="G588" s="210"/>
      <c r="H588" s="210"/>
      <c r="I588" s="210"/>
      <c r="J588" s="210"/>
      <c r="K588" s="210"/>
      <c r="L588" s="210"/>
      <c r="M588" s="210"/>
      <c r="N588" s="210"/>
      <c r="O588" s="196"/>
    </row>
    <row r="589" spans="1:15" s="212" customFormat="1" ht="15.75">
      <c r="A589" s="209" t="str">
        <f ca="1">IF(ISNA(VLOOKUP(D589,'Standard Smelter Names'!$B$3:$E$165,4,FALSE)),"",VLOOKUP(D589,'Standard Smelter Names'!$B$3:$E$165,4,FALSE))</f>
        <v/>
      </c>
      <c r="B589" s="210"/>
      <c r="C589" s="211"/>
      <c r="D589" s="211" t="str">
        <f t="shared" si="18"/>
        <v/>
      </c>
      <c r="E589" s="210" t="str">
        <f t="shared" si="19"/>
        <v/>
      </c>
      <c r="F589" s="210"/>
      <c r="G589" s="210"/>
      <c r="H589" s="210"/>
      <c r="I589" s="210"/>
      <c r="J589" s="210"/>
      <c r="K589" s="210"/>
      <c r="L589" s="210"/>
      <c r="M589" s="210"/>
      <c r="N589" s="210"/>
      <c r="O589" s="196"/>
    </row>
    <row r="590" spans="1:15" s="212" customFormat="1" ht="15.75">
      <c r="A590" s="209" t="str">
        <f ca="1">IF(ISNA(VLOOKUP(D590,'Standard Smelter Names'!$B$3:$E$165,4,FALSE)),"",VLOOKUP(D590,'Standard Smelter Names'!$B$3:$E$165,4,FALSE))</f>
        <v/>
      </c>
      <c r="B590" s="210"/>
      <c r="C590" s="211"/>
      <c r="D590" s="211" t="str">
        <f t="shared" si="18"/>
        <v/>
      </c>
      <c r="E590" s="210" t="str">
        <f t="shared" si="19"/>
        <v/>
      </c>
      <c r="F590" s="210"/>
      <c r="G590" s="210"/>
      <c r="H590" s="210"/>
      <c r="I590" s="210"/>
      <c r="J590" s="210"/>
      <c r="K590" s="210"/>
      <c r="L590" s="210"/>
      <c r="M590" s="210"/>
      <c r="N590" s="210"/>
      <c r="O590" s="196"/>
    </row>
    <row r="591" spans="1:15" s="212" customFormat="1" ht="15.75">
      <c r="A591" s="209" t="str">
        <f ca="1">IF(ISNA(VLOOKUP(D591,'Standard Smelter Names'!$B$3:$E$165,4,FALSE)),"",VLOOKUP(D591,'Standard Smelter Names'!$B$3:$E$165,4,FALSE))</f>
        <v/>
      </c>
      <c r="B591" s="210"/>
      <c r="C591" s="211"/>
      <c r="D591" s="211" t="str">
        <f t="shared" si="18"/>
        <v/>
      </c>
      <c r="E591" s="210" t="str">
        <f t="shared" si="19"/>
        <v/>
      </c>
      <c r="F591" s="210"/>
      <c r="G591" s="210"/>
      <c r="H591" s="210"/>
      <c r="I591" s="210"/>
      <c r="J591" s="210"/>
      <c r="K591" s="210"/>
      <c r="L591" s="210"/>
      <c r="M591" s="210"/>
      <c r="N591" s="210"/>
      <c r="O591" s="196"/>
    </row>
    <row r="592" spans="1:15" s="212" customFormat="1" ht="15.75">
      <c r="A592" s="209" t="str">
        <f ca="1">IF(ISNA(VLOOKUP(D592,'Standard Smelter Names'!$B$3:$E$165,4,FALSE)),"",VLOOKUP(D592,'Standard Smelter Names'!$B$3:$E$165,4,FALSE))</f>
        <v/>
      </c>
      <c r="B592" s="210"/>
      <c r="C592" s="211"/>
      <c r="D592" s="211" t="str">
        <f t="shared" si="18"/>
        <v/>
      </c>
      <c r="E592" s="210" t="str">
        <f t="shared" si="19"/>
        <v/>
      </c>
      <c r="F592" s="210"/>
      <c r="G592" s="210"/>
      <c r="H592" s="210"/>
      <c r="I592" s="210"/>
      <c r="J592" s="210"/>
      <c r="K592" s="210"/>
      <c r="L592" s="210"/>
      <c r="M592" s="210"/>
      <c r="N592" s="210"/>
      <c r="O592" s="196"/>
    </row>
    <row r="593" spans="1:15" s="212" customFormat="1" ht="15.75">
      <c r="A593" s="209" t="str">
        <f ca="1">IF(ISNA(VLOOKUP(D593,'Standard Smelter Names'!$B$3:$E$165,4,FALSE)),"",VLOOKUP(D593,'Standard Smelter Names'!$B$3:$E$165,4,FALSE))</f>
        <v/>
      </c>
      <c r="B593" s="210"/>
      <c r="C593" s="211"/>
      <c r="D593" s="211" t="str">
        <f t="shared" si="18"/>
        <v/>
      </c>
      <c r="E593" s="210" t="str">
        <f t="shared" si="19"/>
        <v/>
      </c>
      <c r="F593" s="210"/>
      <c r="G593" s="210"/>
      <c r="H593" s="210"/>
      <c r="I593" s="210"/>
      <c r="J593" s="210"/>
      <c r="K593" s="210"/>
      <c r="L593" s="210"/>
      <c r="M593" s="210"/>
      <c r="N593" s="210"/>
      <c r="O593" s="196"/>
    </row>
    <row r="594" spans="1:15" s="212" customFormat="1" ht="15.75">
      <c r="A594" s="209" t="str">
        <f ca="1">IF(ISNA(VLOOKUP(D594,'Standard Smelter Names'!$B$3:$E$165,4,FALSE)),"",VLOOKUP(D594,'Standard Smelter Names'!$B$3:$E$165,4,FALSE))</f>
        <v/>
      </c>
      <c r="B594" s="210"/>
      <c r="C594" s="211"/>
      <c r="D594" s="211" t="str">
        <f t="shared" si="18"/>
        <v/>
      </c>
      <c r="E594" s="210" t="str">
        <f t="shared" si="19"/>
        <v/>
      </c>
      <c r="F594" s="210"/>
      <c r="G594" s="210"/>
      <c r="H594" s="210"/>
      <c r="I594" s="210"/>
      <c r="J594" s="210"/>
      <c r="K594" s="210"/>
      <c r="L594" s="210"/>
      <c r="M594" s="210"/>
      <c r="N594" s="210"/>
      <c r="O594" s="196"/>
    </row>
    <row r="595" spans="1:15" s="212" customFormat="1" ht="15.75">
      <c r="A595" s="209" t="str">
        <f ca="1">IF(ISNA(VLOOKUP(D595,'Standard Smelter Names'!$B$3:$E$165,4,FALSE)),"",VLOOKUP(D595,'Standard Smelter Names'!$B$3:$E$165,4,FALSE))</f>
        <v/>
      </c>
      <c r="B595" s="210"/>
      <c r="C595" s="211"/>
      <c r="D595" s="211" t="str">
        <f t="shared" si="18"/>
        <v/>
      </c>
      <c r="E595" s="210" t="str">
        <f t="shared" si="19"/>
        <v/>
      </c>
      <c r="F595" s="210"/>
      <c r="G595" s="210"/>
      <c r="H595" s="210"/>
      <c r="I595" s="210"/>
      <c r="J595" s="210"/>
      <c r="K595" s="210"/>
      <c r="L595" s="210"/>
      <c r="M595" s="210"/>
      <c r="N595" s="210"/>
      <c r="O595" s="196"/>
    </row>
    <row r="596" spans="1:15" s="212" customFormat="1" ht="15.75">
      <c r="A596" s="209" t="str">
        <f ca="1">IF(ISNA(VLOOKUP(D596,'Standard Smelter Names'!$B$3:$E$165,4,FALSE)),"",VLOOKUP(D596,'Standard Smelter Names'!$B$3:$E$165,4,FALSE))</f>
        <v/>
      </c>
      <c r="B596" s="210"/>
      <c r="C596" s="211"/>
      <c r="D596" s="211" t="str">
        <f t="shared" si="18"/>
        <v/>
      </c>
      <c r="E596" s="210" t="str">
        <f t="shared" si="19"/>
        <v/>
      </c>
      <c r="F596" s="210"/>
      <c r="G596" s="210"/>
      <c r="H596" s="210"/>
      <c r="I596" s="210"/>
      <c r="J596" s="210"/>
      <c r="K596" s="210"/>
      <c r="L596" s="210"/>
      <c r="M596" s="210"/>
      <c r="N596" s="210"/>
      <c r="O596" s="196"/>
    </row>
    <row r="597" spans="1:15" s="212" customFormat="1" ht="15.75">
      <c r="A597" s="209" t="str">
        <f ca="1">IF(ISNA(VLOOKUP(D597,'Standard Smelter Names'!$B$3:$E$165,4,FALSE)),"",VLOOKUP(D597,'Standard Smelter Names'!$B$3:$E$165,4,FALSE))</f>
        <v/>
      </c>
      <c r="B597" s="210"/>
      <c r="C597" s="211"/>
      <c r="D597" s="211" t="str">
        <f t="shared" si="18"/>
        <v/>
      </c>
      <c r="E597" s="210" t="str">
        <f t="shared" si="19"/>
        <v/>
      </c>
      <c r="F597" s="210"/>
      <c r="G597" s="210"/>
      <c r="H597" s="210"/>
      <c r="I597" s="210"/>
      <c r="J597" s="210"/>
      <c r="K597" s="210"/>
      <c r="L597" s="210"/>
      <c r="M597" s="210"/>
      <c r="N597" s="210"/>
      <c r="O597" s="196"/>
    </row>
    <row r="598" spans="1:15" s="212" customFormat="1" ht="15.75">
      <c r="A598" s="209" t="str">
        <f ca="1">IF(ISNA(VLOOKUP(D598,'Standard Smelter Names'!$B$3:$E$165,4,FALSE)),"",VLOOKUP(D598,'Standard Smelter Names'!$B$3:$E$165,4,FALSE))</f>
        <v/>
      </c>
      <c r="B598" s="210"/>
      <c r="C598" s="211"/>
      <c r="D598" s="211" t="str">
        <f t="shared" si="18"/>
        <v/>
      </c>
      <c r="E598" s="210" t="str">
        <f t="shared" si="19"/>
        <v/>
      </c>
      <c r="F598" s="210"/>
      <c r="G598" s="210"/>
      <c r="H598" s="210"/>
      <c r="I598" s="210"/>
      <c r="J598" s="210"/>
      <c r="K598" s="210"/>
      <c r="L598" s="210"/>
      <c r="M598" s="210"/>
      <c r="N598" s="210"/>
      <c r="O598" s="196"/>
    </row>
    <row r="599" spans="1:15" s="212" customFormat="1" ht="15.75">
      <c r="A599" s="209" t="str">
        <f ca="1">IF(ISNA(VLOOKUP(D599,'Standard Smelter Names'!$B$3:$E$165,4,FALSE)),"",VLOOKUP(D599,'Standard Smelter Names'!$B$3:$E$165,4,FALSE))</f>
        <v/>
      </c>
      <c r="B599" s="210"/>
      <c r="C599" s="211"/>
      <c r="D599" s="211" t="str">
        <f t="shared" si="18"/>
        <v/>
      </c>
      <c r="E599" s="210" t="str">
        <f t="shared" si="19"/>
        <v/>
      </c>
      <c r="F599" s="210"/>
      <c r="G599" s="210"/>
      <c r="H599" s="210"/>
      <c r="I599" s="210"/>
      <c r="J599" s="210"/>
      <c r="K599" s="210"/>
      <c r="L599" s="210"/>
      <c r="M599" s="210"/>
      <c r="N599" s="210"/>
      <c r="O599" s="196"/>
    </row>
    <row r="600" spans="1:15" s="212" customFormat="1" ht="15.75">
      <c r="A600" s="209" t="str">
        <f ca="1">IF(ISNA(VLOOKUP(D600,'Standard Smelter Names'!$B$3:$E$165,4,FALSE)),"",VLOOKUP(D600,'Standard Smelter Names'!$B$3:$E$165,4,FALSE))</f>
        <v/>
      </c>
      <c r="B600" s="210"/>
      <c r="C600" s="211"/>
      <c r="D600" s="211" t="str">
        <f t="shared" si="18"/>
        <v/>
      </c>
      <c r="E600" s="210" t="str">
        <f t="shared" si="19"/>
        <v/>
      </c>
      <c r="F600" s="210"/>
      <c r="G600" s="210"/>
      <c r="H600" s="210"/>
      <c r="I600" s="210"/>
      <c r="J600" s="210"/>
      <c r="K600" s="210"/>
      <c r="L600" s="210"/>
      <c r="M600" s="210"/>
      <c r="N600" s="210"/>
      <c r="O600" s="196"/>
    </row>
    <row r="601" spans="1:15" s="212" customFormat="1" ht="15.75">
      <c r="A601" s="209" t="str">
        <f ca="1">IF(ISNA(VLOOKUP(D601,'Standard Smelter Names'!$B$3:$E$165,4,FALSE)),"",VLOOKUP(D601,'Standard Smelter Names'!$B$3:$E$165,4,FALSE))</f>
        <v/>
      </c>
      <c r="B601" s="210"/>
      <c r="C601" s="211"/>
      <c r="D601" s="211" t="str">
        <f t="shared" si="18"/>
        <v/>
      </c>
      <c r="E601" s="210" t="str">
        <f t="shared" si="19"/>
        <v/>
      </c>
      <c r="F601" s="210"/>
      <c r="G601" s="210"/>
      <c r="H601" s="210"/>
      <c r="I601" s="210"/>
      <c r="J601" s="210"/>
      <c r="K601" s="210"/>
      <c r="L601" s="210"/>
      <c r="M601" s="210"/>
      <c r="N601" s="210"/>
      <c r="O601" s="196"/>
    </row>
    <row r="602" spans="1:15" s="212" customFormat="1" ht="15.75">
      <c r="A602" s="209" t="str">
        <f ca="1">IF(ISNA(VLOOKUP(D602,'Standard Smelter Names'!$B$3:$E$165,4,FALSE)),"",VLOOKUP(D602,'Standard Smelter Names'!$B$3:$E$165,4,FALSE))</f>
        <v/>
      </c>
      <c r="B602" s="210"/>
      <c r="C602" s="211"/>
      <c r="D602" s="211" t="str">
        <f t="shared" si="18"/>
        <v/>
      </c>
      <c r="E602" s="210" t="str">
        <f t="shared" si="19"/>
        <v/>
      </c>
      <c r="F602" s="210"/>
      <c r="G602" s="210"/>
      <c r="H602" s="210"/>
      <c r="I602" s="210"/>
      <c r="J602" s="210"/>
      <c r="K602" s="210"/>
      <c r="L602" s="210"/>
      <c r="M602" s="210"/>
      <c r="N602" s="210"/>
      <c r="O602" s="196"/>
    </row>
    <row r="603" spans="1:15" s="212" customFormat="1" ht="15.75">
      <c r="A603" s="209" t="str">
        <f ca="1">IF(ISNA(VLOOKUP(D603,'Standard Smelter Names'!$B$3:$E$165,4,FALSE)),"",VLOOKUP(D603,'Standard Smelter Names'!$B$3:$E$165,4,FALSE))</f>
        <v/>
      </c>
      <c r="B603" s="210"/>
      <c r="C603" s="211"/>
      <c r="D603" s="211" t="str">
        <f t="shared" si="18"/>
        <v/>
      </c>
      <c r="E603" s="210" t="str">
        <f t="shared" si="19"/>
        <v/>
      </c>
      <c r="F603" s="210"/>
      <c r="G603" s="210"/>
      <c r="H603" s="210"/>
      <c r="I603" s="210"/>
      <c r="J603" s="210"/>
      <c r="K603" s="210"/>
      <c r="L603" s="210"/>
      <c r="M603" s="210"/>
      <c r="N603" s="210"/>
      <c r="O603" s="196"/>
    </row>
    <row r="604" spans="1:15" s="212" customFormat="1" ht="15.75">
      <c r="A604" s="209" t="str">
        <f ca="1">IF(ISNA(VLOOKUP(D604,'Standard Smelter Names'!$B$3:$E$165,4,FALSE)),"",VLOOKUP(D604,'Standard Smelter Names'!$B$3:$E$165,4,FALSE))</f>
        <v/>
      </c>
      <c r="B604" s="210"/>
      <c r="C604" s="211"/>
      <c r="D604" s="211" t="str">
        <f t="shared" si="18"/>
        <v/>
      </c>
      <c r="E604" s="210" t="str">
        <f t="shared" si="19"/>
        <v/>
      </c>
      <c r="F604" s="210"/>
      <c r="G604" s="210"/>
      <c r="H604" s="210"/>
      <c r="I604" s="210"/>
      <c r="J604" s="210"/>
      <c r="K604" s="210"/>
      <c r="L604" s="210"/>
      <c r="M604" s="210"/>
      <c r="N604" s="210"/>
      <c r="O604" s="196"/>
    </row>
    <row r="605" spans="1:15" s="212" customFormat="1" ht="15.75">
      <c r="A605" s="209" t="str">
        <f ca="1">IF(ISNA(VLOOKUP(D605,'Standard Smelter Names'!$B$3:$E$165,4,FALSE)),"",VLOOKUP(D605,'Standard Smelter Names'!$B$3:$E$165,4,FALSE))</f>
        <v/>
      </c>
      <c r="B605" s="210"/>
      <c r="C605" s="211"/>
      <c r="D605" s="211" t="str">
        <f t="shared" si="18"/>
        <v/>
      </c>
      <c r="E605" s="210" t="str">
        <f t="shared" si="19"/>
        <v/>
      </c>
      <c r="F605" s="210"/>
      <c r="G605" s="210"/>
      <c r="H605" s="210"/>
      <c r="I605" s="210"/>
      <c r="J605" s="210"/>
      <c r="K605" s="210"/>
      <c r="L605" s="210"/>
      <c r="M605" s="210"/>
      <c r="N605" s="210"/>
      <c r="O605" s="196"/>
    </row>
    <row r="606" spans="1:15" s="212" customFormat="1" ht="15.75">
      <c r="A606" s="209" t="str">
        <f ca="1">IF(ISNA(VLOOKUP(D606,'Standard Smelter Names'!$B$3:$E$165,4,FALSE)),"",VLOOKUP(D606,'Standard Smelter Names'!$B$3:$E$165,4,FALSE))</f>
        <v/>
      </c>
      <c r="B606" s="210"/>
      <c r="C606" s="211"/>
      <c r="D606" s="211" t="str">
        <f t="shared" si="18"/>
        <v/>
      </c>
      <c r="E606" s="210" t="str">
        <f t="shared" si="19"/>
        <v/>
      </c>
      <c r="F606" s="210"/>
      <c r="G606" s="210"/>
      <c r="H606" s="210"/>
      <c r="I606" s="210"/>
      <c r="J606" s="210"/>
      <c r="K606" s="210"/>
      <c r="L606" s="210"/>
      <c r="M606" s="210"/>
      <c r="N606" s="210"/>
      <c r="O606" s="196"/>
    </row>
    <row r="607" spans="1:15" s="212" customFormat="1" ht="15.75">
      <c r="A607" s="209" t="str">
        <f ca="1">IF(ISNA(VLOOKUP(D607,'Standard Smelter Names'!$B$3:$E$165,4,FALSE)),"",VLOOKUP(D607,'Standard Smelter Names'!$B$3:$E$165,4,FALSE))</f>
        <v/>
      </c>
      <c r="B607" s="210"/>
      <c r="C607" s="211"/>
      <c r="D607" s="211" t="str">
        <f t="shared" si="18"/>
        <v/>
      </c>
      <c r="E607" s="210" t="str">
        <f t="shared" si="19"/>
        <v/>
      </c>
      <c r="F607" s="210"/>
      <c r="G607" s="210"/>
      <c r="H607" s="210"/>
      <c r="I607" s="210"/>
      <c r="J607" s="210"/>
      <c r="K607" s="210"/>
      <c r="L607" s="210"/>
      <c r="M607" s="210"/>
      <c r="N607" s="210"/>
      <c r="O607" s="196"/>
    </row>
    <row r="608" spans="1:15" s="212" customFormat="1" ht="15.75">
      <c r="A608" s="209" t="str">
        <f ca="1">IF(ISNA(VLOOKUP(D608,'Standard Smelter Names'!$B$3:$E$165,4,FALSE)),"",VLOOKUP(D608,'Standard Smelter Names'!$B$3:$E$165,4,FALSE))</f>
        <v/>
      </c>
      <c r="B608" s="210"/>
      <c r="C608" s="211"/>
      <c r="D608" s="211" t="str">
        <f t="shared" si="18"/>
        <v/>
      </c>
      <c r="E608" s="210" t="str">
        <f t="shared" si="19"/>
        <v/>
      </c>
      <c r="F608" s="210"/>
      <c r="G608" s="210"/>
      <c r="H608" s="210"/>
      <c r="I608" s="210"/>
      <c r="J608" s="210"/>
      <c r="K608" s="210"/>
      <c r="L608" s="210"/>
      <c r="M608" s="210"/>
      <c r="N608" s="210"/>
      <c r="O608" s="196"/>
    </row>
    <row r="609" spans="1:15" s="212" customFormat="1" ht="15.75">
      <c r="A609" s="209" t="str">
        <f ca="1">IF(ISNA(VLOOKUP(D609,'Standard Smelter Names'!$B$3:$E$165,4,FALSE)),"",VLOOKUP(D609,'Standard Smelter Names'!$B$3:$E$165,4,FALSE))</f>
        <v/>
      </c>
      <c r="B609" s="210"/>
      <c r="C609" s="211"/>
      <c r="D609" s="211" t="str">
        <f t="shared" si="18"/>
        <v/>
      </c>
      <c r="E609" s="210" t="str">
        <f t="shared" si="19"/>
        <v/>
      </c>
      <c r="F609" s="210"/>
      <c r="G609" s="210"/>
      <c r="H609" s="210"/>
      <c r="I609" s="210"/>
      <c r="J609" s="210"/>
      <c r="K609" s="210"/>
      <c r="L609" s="210"/>
      <c r="M609" s="210"/>
      <c r="N609" s="210"/>
      <c r="O609" s="196"/>
    </row>
    <row r="610" spans="1:15" s="212" customFormat="1" ht="15.75">
      <c r="A610" s="209" t="str">
        <f ca="1">IF(ISNA(VLOOKUP(D610,'Standard Smelter Names'!$B$3:$E$165,4,FALSE)),"",VLOOKUP(D610,'Standard Smelter Names'!$B$3:$E$165,4,FALSE))</f>
        <v/>
      </c>
      <c r="B610" s="210"/>
      <c r="C610" s="211"/>
      <c r="D610" s="211" t="str">
        <f t="shared" si="18"/>
        <v/>
      </c>
      <c r="E610" s="210" t="str">
        <f t="shared" si="19"/>
        <v/>
      </c>
      <c r="F610" s="210"/>
      <c r="G610" s="210"/>
      <c r="H610" s="210"/>
      <c r="I610" s="210"/>
      <c r="J610" s="210"/>
      <c r="K610" s="210"/>
      <c r="L610" s="210"/>
      <c r="M610" s="210"/>
      <c r="N610" s="210"/>
      <c r="O610" s="196"/>
    </row>
    <row r="611" spans="1:15" s="212" customFormat="1" ht="15.75">
      <c r="A611" s="209" t="str">
        <f ca="1">IF(ISNA(VLOOKUP(D611,'Standard Smelter Names'!$B$3:$E$165,4,FALSE)),"",VLOOKUP(D611,'Standard Smelter Names'!$B$3:$E$165,4,FALSE))</f>
        <v/>
      </c>
      <c r="B611" s="210"/>
      <c r="C611" s="211"/>
      <c r="D611" s="211" t="str">
        <f t="shared" si="18"/>
        <v/>
      </c>
      <c r="E611" s="210" t="str">
        <f t="shared" si="19"/>
        <v/>
      </c>
      <c r="F611" s="210"/>
      <c r="G611" s="210"/>
      <c r="H611" s="210"/>
      <c r="I611" s="210"/>
      <c r="J611" s="210"/>
      <c r="K611" s="210"/>
      <c r="L611" s="210"/>
      <c r="M611" s="210"/>
      <c r="N611" s="210"/>
      <c r="O611" s="196"/>
    </row>
    <row r="612" spans="1:15" s="212" customFormat="1" ht="15.75">
      <c r="A612" s="209" t="str">
        <f ca="1">IF(ISNA(VLOOKUP(D612,'Standard Smelter Names'!$B$3:$E$165,4,FALSE)),"",VLOOKUP(D612,'Standard Smelter Names'!$B$3:$E$165,4,FALSE))</f>
        <v/>
      </c>
      <c r="B612" s="210"/>
      <c r="C612" s="211"/>
      <c r="D612" s="211" t="str">
        <f t="shared" si="18"/>
        <v/>
      </c>
      <c r="E612" s="210" t="str">
        <f t="shared" si="19"/>
        <v/>
      </c>
      <c r="F612" s="210"/>
      <c r="G612" s="210"/>
      <c r="H612" s="210"/>
      <c r="I612" s="210"/>
      <c r="J612" s="210"/>
      <c r="K612" s="210"/>
      <c r="L612" s="210"/>
      <c r="M612" s="210"/>
      <c r="N612" s="210"/>
      <c r="O612" s="196"/>
    </row>
    <row r="613" spans="1:15" s="212" customFormat="1" ht="15.75">
      <c r="A613" s="209" t="str">
        <f ca="1">IF(ISNA(VLOOKUP(D613,'Standard Smelter Names'!$B$3:$E$165,4,FALSE)),"",VLOOKUP(D613,'Standard Smelter Names'!$B$3:$E$165,4,FALSE))</f>
        <v/>
      </c>
      <c r="B613" s="210"/>
      <c r="C613" s="211"/>
      <c r="D613" s="211" t="str">
        <f t="shared" si="18"/>
        <v/>
      </c>
      <c r="E613" s="210" t="str">
        <f t="shared" si="19"/>
        <v/>
      </c>
      <c r="F613" s="210"/>
      <c r="G613" s="210"/>
      <c r="H613" s="210"/>
      <c r="I613" s="210"/>
      <c r="J613" s="210"/>
      <c r="K613" s="210"/>
      <c r="L613" s="210"/>
      <c r="M613" s="210"/>
      <c r="N613" s="210"/>
      <c r="O613" s="196"/>
    </row>
    <row r="614" spans="1:15" s="212" customFormat="1" ht="15.75">
      <c r="A614" s="209" t="str">
        <f ca="1">IF(ISNA(VLOOKUP(D614,'Standard Smelter Names'!$B$3:$E$165,4,FALSE)),"",VLOOKUP(D614,'Standard Smelter Names'!$B$3:$E$165,4,FALSE))</f>
        <v/>
      </c>
      <c r="B614" s="210"/>
      <c r="C614" s="211"/>
      <c r="D614" s="211" t="str">
        <f t="shared" si="18"/>
        <v/>
      </c>
      <c r="E614" s="210" t="str">
        <f t="shared" si="19"/>
        <v/>
      </c>
      <c r="F614" s="210"/>
      <c r="G614" s="210"/>
      <c r="H614" s="210"/>
      <c r="I614" s="210"/>
      <c r="J614" s="210"/>
      <c r="K614" s="210"/>
      <c r="L614" s="210"/>
      <c r="M614" s="210"/>
      <c r="N614" s="210"/>
      <c r="O614" s="196"/>
    </row>
    <row r="615" spans="1:15" s="212" customFormat="1" ht="15.75">
      <c r="A615" s="209" t="str">
        <f ca="1">IF(ISNA(VLOOKUP(D615,'Standard Smelter Names'!$B$3:$E$165,4,FALSE)),"",VLOOKUP(D615,'Standard Smelter Names'!$B$3:$E$165,4,FALSE))</f>
        <v/>
      </c>
      <c r="B615" s="210"/>
      <c r="C615" s="211"/>
      <c r="D615" s="211" t="str">
        <f t="shared" si="18"/>
        <v/>
      </c>
      <c r="E615" s="210" t="str">
        <f t="shared" si="19"/>
        <v/>
      </c>
      <c r="F615" s="210"/>
      <c r="G615" s="210"/>
      <c r="H615" s="210"/>
      <c r="I615" s="210"/>
      <c r="J615" s="210"/>
      <c r="K615" s="210"/>
      <c r="L615" s="210"/>
      <c r="M615" s="210"/>
      <c r="N615" s="210"/>
      <c r="O615" s="196"/>
    </row>
    <row r="616" spans="1:15" s="212" customFormat="1" ht="15.75">
      <c r="A616" s="209" t="str">
        <f ca="1">IF(ISNA(VLOOKUP(D616,'Standard Smelter Names'!$B$3:$E$165,4,FALSE)),"",VLOOKUP(D616,'Standard Smelter Names'!$B$3:$E$165,4,FALSE))</f>
        <v/>
      </c>
      <c r="B616" s="210"/>
      <c r="C616" s="211"/>
      <c r="D616" s="211" t="str">
        <f t="shared" si="18"/>
        <v/>
      </c>
      <c r="E616" s="210" t="str">
        <f t="shared" si="19"/>
        <v/>
      </c>
      <c r="F616" s="210"/>
      <c r="G616" s="210"/>
      <c r="H616" s="210"/>
      <c r="I616" s="210"/>
      <c r="J616" s="210"/>
      <c r="K616" s="210"/>
      <c r="L616" s="210"/>
      <c r="M616" s="210"/>
      <c r="N616" s="210"/>
      <c r="O616" s="196"/>
    </row>
    <row r="617" spans="1:15" s="212" customFormat="1" ht="15.75">
      <c r="A617" s="209" t="str">
        <f ca="1">IF(ISNA(VLOOKUP(D617,'Standard Smelter Names'!$B$3:$E$165,4,FALSE)),"",VLOOKUP(D617,'Standard Smelter Names'!$B$3:$E$165,4,FALSE))</f>
        <v/>
      </c>
      <c r="B617" s="210"/>
      <c r="C617" s="211"/>
      <c r="D617" s="211" t="str">
        <f t="shared" si="18"/>
        <v/>
      </c>
      <c r="E617" s="210" t="str">
        <f t="shared" si="19"/>
        <v/>
      </c>
      <c r="F617" s="210"/>
      <c r="G617" s="210"/>
      <c r="H617" s="210"/>
      <c r="I617" s="210"/>
      <c r="J617" s="210"/>
      <c r="K617" s="210"/>
      <c r="L617" s="210"/>
      <c r="M617" s="210"/>
      <c r="N617" s="210"/>
      <c r="O617" s="196"/>
    </row>
    <row r="618" spans="1:15" s="212" customFormat="1" ht="15.75">
      <c r="A618" s="209" t="str">
        <f ca="1">IF(ISNA(VLOOKUP(D618,'Standard Smelter Names'!$B$3:$E$165,4,FALSE)),"",VLOOKUP(D618,'Standard Smelter Names'!$B$3:$E$165,4,FALSE))</f>
        <v/>
      </c>
      <c r="B618" s="210"/>
      <c r="C618" s="211"/>
      <c r="D618" s="211" t="str">
        <f t="shared" si="18"/>
        <v/>
      </c>
      <c r="E618" s="210" t="str">
        <f t="shared" si="19"/>
        <v/>
      </c>
      <c r="F618" s="210"/>
      <c r="G618" s="210"/>
      <c r="H618" s="210"/>
      <c r="I618" s="210"/>
      <c r="J618" s="210"/>
      <c r="K618" s="210"/>
      <c r="L618" s="210"/>
      <c r="M618" s="210"/>
      <c r="N618" s="210"/>
      <c r="O618" s="196"/>
    </row>
    <row r="619" spans="1:15" s="212" customFormat="1" ht="15.75">
      <c r="A619" s="209" t="str">
        <f ca="1">IF(ISNA(VLOOKUP(D619,'Standard Smelter Names'!$B$3:$E$165,4,FALSE)),"",VLOOKUP(D619,'Standard Smelter Names'!$B$3:$E$165,4,FALSE))</f>
        <v/>
      </c>
      <c r="B619" s="210"/>
      <c r="C619" s="211"/>
      <c r="D619" s="211" t="str">
        <f t="shared" si="18"/>
        <v/>
      </c>
      <c r="E619" s="210" t="str">
        <f t="shared" si="19"/>
        <v/>
      </c>
      <c r="F619" s="210"/>
      <c r="G619" s="210"/>
      <c r="H619" s="210"/>
      <c r="I619" s="210"/>
      <c r="J619" s="210"/>
      <c r="K619" s="210"/>
      <c r="L619" s="210"/>
      <c r="M619" s="210"/>
      <c r="N619" s="210"/>
      <c r="O619" s="196"/>
    </row>
    <row r="620" spans="1:15" s="212" customFormat="1" ht="15.75">
      <c r="A620" s="209" t="str">
        <f ca="1">IF(ISNA(VLOOKUP(D620,'Standard Smelter Names'!$B$3:$E$165,4,FALSE)),"",VLOOKUP(D620,'Standard Smelter Names'!$B$3:$E$165,4,FALSE))</f>
        <v/>
      </c>
      <c r="B620" s="210"/>
      <c r="C620" s="211"/>
      <c r="D620" s="211" t="str">
        <f t="shared" si="18"/>
        <v/>
      </c>
      <c r="E620" s="210" t="str">
        <f t="shared" si="19"/>
        <v/>
      </c>
      <c r="F620" s="210"/>
      <c r="G620" s="210"/>
      <c r="H620" s="210"/>
      <c r="I620" s="210"/>
      <c r="J620" s="210"/>
      <c r="K620" s="210"/>
      <c r="L620" s="210"/>
      <c r="M620" s="210"/>
      <c r="N620" s="210"/>
      <c r="O620" s="196"/>
    </row>
    <row r="621" spans="1:15" s="212" customFormat="1" ht="15.75">
      <c r="A621" s="209" t="str">
        <f ca="1">IF(ISNA(VLOOKUP(D621,'Standard Smelter Names'!$B$3:$E$165,4,FALSE)),"",VLOOKUP(D621,'Standard Smelter Names'!$B$3:$E$165,4,FALSE))</f>
        <v/>
      </c>
      <c r="B621" s="210"/>
      <c r="C621" s="211"/>
      <c r="D621" s="211" t="str">
        <f t="shared" si="18"/>
        <v/>
      </c>
      <c r="E621" s="210" t="str">
        <f t="shared" si="19"/>
        <v/>
      </c>
      <c r="F621" s="210"/>
      <c r="G621" s="210"/>
      <c r="H621" s="210"/>
      <c r="I621" s="210"/>
      <c r="J621" s="210"/>
      <c r="K621" s="210"/>
      <c r="L621" s="210"/>
      <c r="M621" s="210"/>
      <c r="N621" s="210"/>
      <c r="O621" s="196"/>
    </row>
    <row r="622" spans="1:15" s="212" customFormat="1" ht="15.75">
      <c r="A622" s="209" t="str">
        <f ca="1">IF(ISNA(VLOOKUP(D622,'Standard Smelter Names'!$B$3:$E$165,4,FALSE)),"",VLOOKUP(D622,'Standard Smelter Names'!$B$3:$E$165,4,FALSE))</f>
        <v/>
      </c>
      <c r="B622" s="210"/>
      <c r="C622" s="211"/>
      <c r="D622" s="211" t="str">
        <f t="shared" si="18"/>
        <v/>
      </c>
      <c r="E622" s="210" t="str">
        <f t="shared" si="19"/>
        <v/>
      </c>
      <c r="F622" s="210"/>
      <c r="G622" s="210"/>
      <c r="H622" s="210"/>
      <c r="I622" s="210"/>
      <c r="J622" s="210"/>
      <c r="K622" s="210"/>
      <c r="L622" s="210"/>
      <c r="M622" s="210"/>
      <c r="N622" s="210"/>
      <c r="O622" s="196"/>
    </row>
    <row r="623" spans="1:15" s="212" customFormat="1" ht="15.75">
      <c r="A623" s="209" t="str">
        <f ca="1">IF(ISNA(VLOOKUP(D623,'Standard Smelter Names'!$B$3:$E$165,4,FALSE)),"",VLOOKUP(D623,'Standard Smelter Names'!$B$3:$E$165,4,FALSE))</f>
        <v/>
      </c>
      <c r="B623" s="210"/>
      <c r="C623" s="211"/>
      <c r="D623" s="211" t="str">
        <f t="shared" si="18"/>
        <v/>
      </c>
      <c r="E623" s="210" t="str">
        <f t="shared" si="19"/>
        <v/>
      </c>
      <c r="F623" s="210"/>
      <c r="G623" s="210"/>
      <c r="H623" s="210"/>
      <c r="I623" s="210"/>
      <c r="J623" s="210"/>
      <c r="K623" s="210"/>
      <c r="L623" s="210"/>
      <c r="M623" s="210"/>
      <c r="N623" s="210"/>
      <c r="O623" s="196"/>
    </row>
    <row r="624" spans="1:15" s="212" customFormat="1" ht="15.75">
      <c r="A624" s="209" t="str">
        <f ca="1">IF(ISNA(VLOOKUP(D624,'Standard Smelter Names'!$B$3:$E$165,4,FALSE)),"",VLOOKUP(D624,'Standard Smelter Names'!$B$3:$E$165,4,FALSE))</f>
        <v/>
      </c>
      <c r="B624" s="210"/>
      <c r="C624" s="211"/>
      <c r="D624" s="211" t="str">
        <f t="shared" si="18"/>
        <v/>
      </c>
      <c r="E624" s="210" t="str">
        <f t="shared" si="19"/>
        <v/>
      </c>
      <c r="F624" s="210"/>
      <c r="G624" s="210"/>
      <c r="H624" s="210"/>
      <c r="I624" s="210"/>
      <c r="J624" s="210"/>
      <c r="K624" s="210"/>
      <c r="L624" s="210"/>
      <c r="M624" s="210"/>
      <c r="N624" s="210"/>
      <c r="O624" s="196"/>
    </row>
    <row r="625" spans="1:15" s="212" customFormat="1" ht="15.75">
      <c r="A625" s="209" t="str">
        <f ca="1">IF(ISNA(VLOOKUP(D625,'Standard Smelter Names'!$B$3:$E$165,4,FALSE)),"",VLOOKUP(D625,'Standard Smelter Names'!$B$3:$E$165,4,FALSE))</f>
        <v/>
      </c>
      <c r="B625" s="210"/>
      <c r="C625" s="211"/>
      <c r="D625" s="211" t="str">
        <f t="shared" si="18"/>
        <v/>
      </c>
      <c r="E625" s="210" t="str">
        <f t="shared" si="19"/>
        <v/>
      </c>
      <c r="F625" s="210"/>
      <c r="G625" s="210"/>
      <c r="H625" s="210"/>
      <c r="I625" s="210"/>
      <c r="J625" s="210"/>
      <c r="K625" s="210"/>
      <c r="L625" s="210"/>
      <c r="M625" s="210"/>
      <c r="N625" s="210"/>
      <c r="O625" s="196"/>
    </row>
    <row r="626" spans="1:15" s="212" customFormat="1" ht="15.75">
      <c r="A626" s="209" t="str">
        <f ca="1">IF(ISNA(VLOOKUP(D626,'Standard Smelter Names'!$B$3:$E$165,4,FALSE)),"",VLOOKUP(D626,'Standard Smelter Names'!$B$3:$E$165,4,FALSE))</f>
        <v/>
      </c>
      <c r="B626" s="210"/>
      <c r="C626" s="211"/>
      <c r="D626" s="211" t="str">
        <f t="shared" si="18"/>
        <v/>
      </c>
      <c r="E626" s="210" t="str">
        <f t="shared" si="19"/>
        <v/>
      </c>
      <c r="F626" s="210"/>
      <c r="G626" s="210"/>
      <c r="H626" s="210"/>
      <c r="I626" s="210"/>
      <c r="J626" s="210"/>
      <c r="K626" s="210"/>
      <c r="L626" s="210"/>
      <c r="M626" s="210"/>
      <c r="N626" s="210"/>
      <c r="O626" s="196"/>
    </row>
    <row r="627" spans="1:15" s="212" customFormat="1" ht="15.75">
      <c r="A627" s="209" t="str">
        <f ca="1">IF(ISNA(VLOOKUP(D627,'Standard Smelter Names'!$B$3:$E$165,4,FALSE)),"",VLOOKUP(D627,'Standard Smelter Names'!$B$3:$E$165,4,FALSE))</f>
        <v/>
      </c>
      <c r="B627" s="210"/>
      <c r="C627" s="211"/>
      <c r="D627" s="211" t="str">
        <f t="shared" si="18"/>
        <v/>
      </c>
      <c r="E627" s="210" t="str">
        <f t="shared" si="19"/>
        <v/>
      </c>
      <c r="F627" s="210"/>
      <c r="G627" s="210"/>
      <c r="H627" s="210"/>
      <c r="I627" s="210"/>
      <c r="J627" s="210"/>
      <c r="K627" s="210"/>
      <c r="L627" s="210"/>
      <c r="M627" s="210"/>
      <c r="N627" s="210"/>
      <c r="O627" s="196"/>
    </row>
    <row r="628" spans="1:15" s="212" customFormat="1" ht="15.75">
      <c r="A628" s="209" t="str">
        <f ca="1">IF(ISNA(VLOOKUP(D628,'Standard Smelter Names'!$B$3:$E$165,4,FALSE)),"",VLOOKUP(D628,'Standard Smelter Names'!$B$3:$E$165,4,FALSE))</f>
        <v/>
      </c>
      <c r="B628" s="210"/>
      <c r="C628" s="211"/>
      <c r="D628" s="211" t="str">
        <f t="shared" si="18"/>
        <v/>
      </c>
      <c r="E628" s="210" t="str">
        <f t="shared" si="19"/>
        <v/>
      </c>
      <c r="F628" s="210"/>
      <c r="G628" s="210"/>
      <c r="H628" s="210"/>
      <c r="I628" s="210"/>
      <c r="J628" s="210"/>
      <c r="K628" s="210"/>
      <c r="L628" s="210"/>
      <c r="M628" s="210"/>
      <c r="N628" s="210"/>
      <c r="O628" s="196"/>
    </row>
    <row r="629" spans="1:15" s="212" customFormat="1" ht="15.75">
      <c r="A629" s="209" t="str">
        <f ca="1">IF(ISNA(VLOOKUP(D629,'Standard Smelter Names'!$B$3:$E$165,4,FALSE)),"",VLOOKUP(D629,'Standard Smelter Names'!$B$3:$E$165,4,FALSE))</f>
        <v/>
      </c>
      <c r="B629" s="210"/>
      <c r="C629" s="211"/>
      <c r="D629" s="211" t="str">
        <f t="shared" si="18"/>
        <v/>
      </c>
      <c r="E629" s="210" t="str">
        <f t="shared" si="19"/>
        <v/>
      </c>
      <c r="F629" s="210"/>
      <c r="G629" s="210"/>
      <c r="H629" s="210"/>
      <c r="I629" s="210"/>
      <c r="J629" s="210"/>
      <c r="K629" s="210"/>
      <c r="L629" s="210"/>
      <c r="M629" s="210"/>
      <c r="N629" s="210"/>
      <c r="O629" s="196"/>
    </row>
    <row r="630" spans="1:15" s="212" customFormat="1" ht="15.75">
      <c r="A630" s="209" t="str">
        <f ca="1">IF(ISNA(VLOOKUP(D630,'Standard Smelter Names'!$B$3:$E$165,4,FALSE)),"",VLOOKUP(D630,'Standard Smelter Names'!$B$3:$E$165,4,FALSE))</f>
        <v/>
      </c>
      <c r="B630" s="210"/>
      <c r="C630" s="211"/>
      <c r="D630" s="211" t="str">
        <f t="shared" si="18"/>
        <v/>
      </c>
      <c r="E630" s="210" t="str">
        <f t="shared" si="19"/>
        <v/>
      </c>
      <c r="F630" s="210"/>
      <c r="G630" s="210"/>
      <c r="H630" s="210"/>
      <c r="I630" s="210"/>
      <c r="J630" s="210"/>
      <c r="K630" s="210"/>
      <c r="L630" s="210"/>
      <c r="M630" s="210"/>
      <c r="N630" s="210"/>
      <c r="O630" s="196"/>
    </row>
    <row r="631" spans="1:15" s="212" customFormat="1" ht="15.75">
      <c r="A631" s="209" t="str">
        <f ca="1">IF(ISNA(VLOOKUP(D631,'Standard Smelter Names'!$B$3:$E$165,4,FALSE)),"",VLOOKUP(D631,'Standard Smelter Names'!$B$3:$E$165,4,FALSE))</f>
        <v/>
      </c>
      <c r="B631" s="210"/>
      <c r="C631" s="211"/>
      <c r="D631" s="211" t="str">
        <f t="shared" si="18"/>
        <v/>
      </c>
      <c r="E631" s="210" t="str">
        <f t="shared" si="19"/>
        <v/>
      </c>
      <c r="F631" s="210"/>
      <c r="G631" s="210"/>
      <c r="H631" s="210"/>
      <c r="I631" s="210"/>
      <c r="J631" s="210"/>
      <c r="K631" s="210"/>
      <c r="L631" s="210"/>
      <c r="M631" s="210"/>
      <c r="N631" s="210"/>
      <c r="O631" s="196"/>
    </row>
    <row r="632" spans="1:15" s="212" customFormat="1" ht="15.75">
      <c r="A632" s="209" t="str">
        <f ca="1">IF(ISNA(VLOOKUP(D632,'Standard Smelter Names'!$B$3:$E$165,4,FALSE)),"",VLOOKUP(D632,'Standard Smelter Names'!$B$3:$E$165,4,FALSE))</f>
        <v/>
      </c>
      <c r="B632" s="210"/>
      <c r="C632" s="211"/>
      <c r="D632" s="211" t="str">
        <f t="shared" si="18"/>
        <v/>
      </c>
      <c r="E632" s="210" t="str">
        <f t="shared" si="19"/>
        <v/>
      </c>
      <c r="F632" s="210"/>
      <c r="G632" s="210"/>
      <c r="H632" s="210"/>
      <c r="I632" s="210"/>
      <c r="J632" s="210"/>
      <c r="K632" s="210"/>
      <c r="L632" s="210"/>
      <c r="M632" s="210"/>
      <c r="N632" s="210"/>
      <c r="O632" s="196"/>
    </row>
    <row r="633" spans="1:15" s="212" customFormat="1" ht="15.75">
      <c r="A633" s="209" t="str">
        <f ca="1">IF(ISNA(VLOOKUP(D633,'Standard Smelter Names'!$B$3:$E$165,4,FALSE)),"",VLOOKUP(D633,'Standard Smelter Names'!$B$3:$E$165,4,FALSE))</f>
        <v/>
      </c>
      <c r="B633" s="210"/>
      <c r="C633" s="211"/>
      <c r="D633" s="211" t="str">
        <f t="shared" si="18"/>
        <v/>
      </c>
      <c r="E633" s="210" t="str">
        <f t="shared" si="19"/>
        <v/>
      </c>
      <c r="F633" s="210"/>
      <c r="G633" s="210"/>
      <c r="H633" s="210"/>
      <c r="I633" s="210"/>
      <c r="J633" s="210"/>
      <c r="K633" s="210"/>
      <c r="L633" s="210"/>
      <c r="M633" s="210"/>
      <c r="N633" s="210"/>
      <c r="O633" s="196"/>
    </row>
    <row r="634" spans="1:15" s="212" customFormat="1" ht="15.75">
      <c r="A634" s="209" t="str">
        <f ca="1">IF(ISNA(VLOOKUP(D634,'Standard Smelter Names'!$B$3:$E$165,4,FALSE)),"",VLOOKUP(D634,'Standard Smelter Names'!$B$3:$E$165,4,FALSE))</f>
        <v/>
      </c>
      <c r="B634" s="210"/>
      <c r="C634" s="211"/>
      <c r="D634" s="211" t="str">
        <f t="shared" si="18"/>
        <v/>
      </c>
      <c r="E634" s="210" t="str">
        <f t="shared" si="19"/>
        <v/>
      </c>
      <c r="F634" s="210"/>
      <c r="G634" s="210"/>
      <c r="H634" s="210"/>
      <c r="I634" s="210"/>
      <c r="J634" s="210"/>
      <c r="K634" s="210"/>
      <c r="L634" s="210"/>
      <c r="M634" s="210"/>
      <c r="N634" s="210"/>
      <c r="O634" s="196"/>
    </row>
    <row r="635" spans="1:15" s="212" customFormat="1" ht="15.75">
      <c r="A635" s="209" t="str">
        <f ca="1">IF(ISNA(VLOOKUP(D635,'Standard Smelter Names'!$B$3:$E$165,4,FALSE)),"",VLOOKUP(D635,'Standard Smelter Names'!$B$3:$E$165,4,FALSE))</f>
        <v/>
      </c>
      <c r="B635" s="210"/>
      <c r="C635" s="211"/>
      <c r="D635" s="211" t="str">
        <f t="shared" si="18"/>
        <v/>
      </c>
      <c r="E635" s="210" t="str">
        <f t="shared" si="19"/>
        <v/>
      </c>
      <c r="F635" s="210"/>
      <c r="G635" s="210"/>
      <c r="H635" s="210"/>
      <c r="I635" s="210"/>
      <c r="J635" s="210"/>
      <c r="K635" s="210"/>
      <c r="L635" s="210"/>
      <c r="M635" s="210"/>
      <c r="N635" s="210"/>
      <c r="O635" s="196"/>
    </row>
    <row r="636" spans="1:15" s="212" customFormat="1" ht="15.75">
      <c r="A636" s="209" t="str">
        <f ca="1">IF(ISNA(VLOOKUP(D636,'Standard Smelter Names'!$B$3:$E$165,4,FALSE)),"",VLOOKUP(D636,'Standard Smelter Names'!$B$3:$E$165,4,FALSE))</f>
        <v/>
      </c>
      <c r="B636" s="210"/>
      <c r="C636" s="211"/>
      <c r="D636" s="211" t="str">
        <f t="shared" si="18"/>
        <v/>
      </c>
      <c r="E636" s="210" t="str">
        <f t="shared" si="19"/>
        <v/>
      </c>
      <c r="F636" s="210"/>
      <c r="G636" s="210"/>
      <c r="H636" s="210"/>
      <c r="I636" s="210"/>
      <c r="J636" s="210"/>
      <c r="K636" s="210"/>
      <c r="L636" s="210"/>
      <c r="M636" s="210"/>
      <c r="N636" s="210"/>
      <c r="O636" s="196"/>
    </row>
    <row r="637" spans="1:15" s="212" customFormat="1" ht="15.75">
      <c r="A637" s="209" t="str">
        <f ca="1">IF(ISNA(VLOOKUP(D637,'Standard Smelter Names'!$B$3:$E$165,4,FALSE)),"",VLOOKUP(D637,'Standard Smelter Names'!$B$3:$E$165,4,FALSE))</f>
        <v/>
      </c>
      <c r="B637" s="210"/>
      <c r="C637" s="211"/>
      <c r="D637" s="211" t="str">
        <f t="shared" si="18"/>
        <v/>
      </c>
      <c r="E637" s="210" t="str">
        <f t="shared" si="19"/>
        <v/>
      </c>
      <c r="F637" s="210"/>
      <c r="G637" s="210"/>
      <c r="H637" s="210"/>
      <c r="I637" s="210"/>
      <c r="J637" s="210"/>
      <c r="K637" s="210"/>
      <c r="L637" s="210"/>
      <c r="M637" s="210"/>
      <c r="N637" s="210"/>
      <c r="O637" s="196"/>
    </row>
    <row r="638" spans="1:15" s="212" customFormat="1" ht="15.75">
      <c r="A638" s="209" t="str">
        <f ca="1">IF(ISNA(VLOOKUP(D638,'Standard Smelter Names'!$B$3:$E$165,4,FALSE)),"",VLOOKUP(D638,'Standard Smelter Names'!$B$3:$E$165,4,FALSE))</f>
        <v/>
      </c>
      <c r="B638" s="210"/>
      <c r="C638" s="211"/>
      <c r="D638" s="211" t="str">
        <f t="shared" si="18"/>
        <v/>
      </c>
      <c r="E638" s="210" t="str">
        <f t="shared" si="19"/>
        <v/>
      </c>
      <c r="F638" s="210"/>
      <c r="G638" s="210"/>
      <c r="H638" s="210"/>
      <c r="I638" s="210"/>
      <c r="J638" s="210"/>
      <c r="K638" s="210"/>
      <c r="L638" s="210"/>
      <c r="M638" s="210"/>
      <c r="N638" s="210"/>
      <c r="O638" s="196"/>
    </row>
    <row r="639" spans="1:15" s="212" customFormat="1" ht="15.75">
      <c r="A639" s="209" t="str">
        <f ca="1">IF(ISNA(VLOOKUP(D639,'Standard Smelter Names'!$B$3:$E$165,4,FALSE)),"",VLOOKUP(D639,'Standard Smelter Names'!$B$3:$E$165,4,FALSE))</f>
        <v/>
      </c>
      <c r="B639" s="210"/>
      <c r="C639" s="211"/>
      <c r="D639" s="211" t="str">
        <f t="shared" si="18"/>
        <v/>
      </c>
      <c r="E639" s="210" t="str">
        <f t="shared" si="19"/>
        <v/>
      </c>
      <c r="F639" s="210"/>
      <c r="G639" s="210"/>
      <c r="H639" s="210"/>
      <c r="I639" s="210"/>
      <c r="J639" s="210"/>
      <c r="K639" s="210"/>
      <c r="L639" s="210"/>
      <c r="M639" s="210"/>
      <c r="N639" s="210"/>
      <c r="O639" s="196"/>
    </row>
    <row r="640" spans="1:15" s="212" customFormat="1" ht="15.75">
      <c r="A640" s="209" t="str">
        <f ca="1">IF(ISNA(VLOOKUP(D640,'Standard Smelter Names'!$B$3:$E$165,4,FALSE)),"",VLOOKUP(D640,'Standard Smelter Names'!$B$3:$E$165,4,FALSE))</f>
        <v/>
      </c>
      <c r="B640" s="210"/>
      <c r="C640" s="211"/>
      <c r="D640" s="211" t="str">
        <f t="shared" si="18"/>
        <v/>
      </c>
      <c r="E640" s="210" t="str">
        <f t="shared" si="19"/>
        <v/>
      </c>
      <c r="F640" s="210"/>
      <c r="G640" s="210"/>
      <c r="H640" s="210"/>
      <c r="I640" s="210"/>
      <c r="J640" s="210"/>
      <c r="K640" s="210"/>
      <c r="L640" s="210"/>
      <c r="M640" s="210"/>
      <c r="N640" s="210"/>
      <c r="O640" s="196"/>
    </row>
    <row r="641" spans="1:15" s="212" customFormat="1" ht="15.75">
      <c r="A641" s="209" t="str">
        <f ca="1">IF(ISNA(VLOOKUP(D641,'Standard Smelter Names'!$B$3:$E$165,4,FALSE)),"",VLOOKUP(D641,'Standard Smelter Names'!$B$3:$E$165,4,FALSE))</f>
        <v/>
      </c>
      <c r="B641" s="210"/>
      <c r="C641" s="211"/>
      <c r="D641" s="211" t="str">
        <f t="shared" si="18"/>
        <v/>
      </c>
      <c r="E641" s="210" t="str">
        <f t="shared" si="19"/>
        <v/>
      </c>
      <c r="F641" s="210"/>
      <c r="G641" s="210"/>
      <c r="H641" s="210"/>
      <c r="I641" s="210"/>
      <c r="J641" s="210"/>
      <c r="K641" s="210"/>
      <c r="L641" s="210"/>
      <c r="M641" s="210"/>
      <c r="N641" s="210"/>
      <c r="O641" s="196"/>
    </row>
    <row r="642" spans="1:15" s="212" customFormat="1" ht="15.75">
      <c r="A642" s="209" t="str">
        <f ca="1">IF(ISNA(VLOOKUP(D642,'Standard Smelter Names'!$B$3:$E$165,4,FALSE)),"",VLOOKUP(D642,'Standard Smelter Names'!$B$3:$E$165,4,FALSE))</f>
        <v/>
      </c>
      <c r="B642" s="210"/>
      <c r="C642" s="211"/>
      <c r="D642" s="211" t="str">
        <f t="shared" si="18"/>
        <v/>
      </c>
      <c r="E642" s="210" t="str">
        <f t="shared" si="19"/>
        <v/>
      </c>
      <c r="F642" s="210"/>
      <c r="G642" s="210"/>
      <c r="H642" s="210"/>
      <c r="I642" s="210"/>
      <c r="J642" s="210"/>
      <c r="K642" s="210"/>
      <c r="L642" s="210"/>
      <c r="M642" s="210"/>
      <c r="N642" s="210"/>
      <c r="O642" s="196"/>
    </row>
    <row r="643" spans="1:15" s="212" customFormat="1" ht="15.75">
      <c r="A643" s="209" t="str">
        <f ca="1">IF(ISNA(VLOOKUP(D643,'Standard Smelter Names'!$B$3:$E$165,4,FALSE)),"",VLOOKUP(D643,'Standard Smelter Names'!$B$3:$E$165,4,FALSE))</f>
        <v/>
      </c>
      <c r="B643" s="210"/>
      <c r="C643" s="211"/>
      <c r="D643" s="211" t="str">
        <f t="shared" si="18"/>
        <v/>
      </c>
      <c r="E643" s="210" t="str">
        <f t="shared" si="19"/>
        <v/>
      </c>
      <c r="F643" s="210"/>
      <c r="G643" s="210"/>
      <c r="H643" s="210"/>
      <c r="I643" s="210"/>
      <c r="J643" s="210"/>
      <c r="K643" s="210"/>
      <c r="L643" s="210"/>
      <c r="M643" s="210"/>
      <c r="N643" s="210"/>
      <c r="O643" s="196"/>
    </row>
    <row r="644" spans="1:15" s="212" customFormat="1" ht="15.75">
      <c r="A644" s="209" t="str">
        <f ca="1">IF(ISNA(VLOOKUP(D644,'Standard Smelter Names'!$B$3:$E$165,4,FALSE)),"",VLOOKUP(D644,'Standard Smelter Names'!$B$3:$E$165,4,FALSE))</f>
        <v/>
      </c>
      <c r="B644" s="210"/>
      <c r="C644" s="211"/>
      <c r="D644" s="211" t="str">
        <f t="shared" si="18"/>
        <v/>
      </c>
      <c r="E644" s="210" t="str">
        <f t="shared" si="19"/>
        <v/>
      </c>
      <c r="F644" s="210"/>
      <c r="G644" s="210"/>
      <c r="H644" s="210"/>
      <c r="I644" s="210"/>
      <c r="J644" s="210"/>
      <c r="K644" s="210"/>
      <c r="L644" s="210"/>
      <c r="M644" s="210"/>
      <c r="N644" s="210"/>
      <c r="O644" s="196"/>
    </row>
    <row r="645" spans="1:15" s="212" customFormat="1" ht="15.75">
      <c r="A645" s="209" t="str">
        <f ca="1">IF(ISNA(VLOOKUP(D645,'Standard Smelter Names'!$B$3:$E$165,4,FALSE)),"",VLOOKUP(D645,'Standard Smelter Names'!$B$3:$E$165,4,FALSE))</f>
        <v/>
      </c>
      <c r="B645" s="210"/>
      <c r="C645" s="211"/>
      <c r="D645" s="211" t="str">
        <f t="shared" ref="D645:D708" si="20">IF(ISNA(VLOOKUP(C645,$G$1023:$I$1379,3,FALSE)),"",VLOOKUP(C645,$G$1023:$I$1379,3,FALSE))</f>
        <v/>
      </c>
      <c r="E645" s="210" t="str">
        <f t="shared" ref="E645:E708" si="21">IF(ISNA(VLOOKUP(C645,$G$1023:$I$1379,2,FALSE)),"",VLOOKUP(C645,$G$1023:$I$1379,2,FALSE))</f>
        <v/>
      </c>
      <c r="F645" s="210"/>
      <c r="G645" s="210"/>
      <c r="H645" s="210"/>
      <c r="I645" s="210"/>
      <c r="J645" s="210"/>
      <c r="K645" s="210"/>
      <c r="L645" s="210"/>
      <c r="M645" s="210"/>
      <c r="N645" s="210"/>
      <c r="O645" s="196"/>
    </row>
    <row r="646" spans="1:15" s="212" customFormat="1" ht="15.75">
      <c r="A646" s="209" t="str">
        <f ca="1">IF(ISNA(VLOOKUP(D646,'Standard Smelter Names'!$B$3:$E$165,4,FALSE)),"",VLOOKUP(D646,'Standard Smelter Names'!$B$3:$E$165,4,FALSE))</f>
        <v/>
      </c>
      <c r="B646" s="210"/>
      <c r="C646" s="211"/>
      <c r="D646" s="211" t="str">
        <f t="shared" si="20"/>
        <v/>
      </c>
      <c r="E646" s="210" t="str">
        <f t="shared" si="21"/>
        <v/>
      </c>
      <c r="F646" s="210"/>
      <c r="G646" s="210"/>
      <c r="H646" s="210"/>
      <c r="I646" s="210"/>
      <c r="J646" s="210"/>
      <c r="K646" s="210"/>
      <c r="L646" s="210"/>
      <c r="M646" s="210"/>
      <c r="N646" s="210"/>
      <c r="O646" s="196"/>
    </row>
    <row r="647" spans="1:15" s="212" customFormat="1" ht="15.75">
      <c r="A647" s="209" t="str">
        <f ca="1">IF(ISNA(VLOOKUP(D647,'Standard Smelter Names'!$B$3:$E$165,4,FALSE)),"",VLOOKUP(D647,'Standard Smelter Names'!$B$3:$E$165,4,FALSE))</f>
        <v/>
      </c>
      <c r="B647" s="210"/>
      <c r="C647" s="211"/>
      <c r="D647" s="211" t="str">
        <f t="shared" si="20"/>
        <v/>
      </c>
      <c r="E647" s="210" t="str">
        <f t="shared" si="21"/>
        <v/>
      </c>
      <c r="F647" s="210"/>
      <c r="G647" s="210"/>
      <c r="H647" s="210"/>
      <c r="I647" s="210"/>
      <c r="J647" s="210"/>
      <c r="K647" s="210"/>
      <c r="L647" s="210"/>
      <c r="M647" s="210"/>
      <c r="N647" s="210"/>
      <c r="O647" s="196"/>
    </row>
    <row r="648" spans="1:15" s="212" customFormat="1" ht="15.75">
      <c r="A648" s="209" t="str">
        <f ca="1">IF(ISNA(VLOOKUP(D648,'Standard Smelter Names'!$B$3:$E$165,4,FALSE)),"",VLOOKUP(D648,'Standard Smelter Names'!$B$3:$E$165,4,FALSE))</f>
        <v/>
      </c>
      <c r="B648" s="210"/>
      <c r="C648" s="211"/>
      <c r="D648" s="211" t="str">
        <f t="shared" si="20"/>
        <v/>
      </c>
      <c r="E648" s="210" t="str">
        <f t="shared" si="21"/>
        <v/>
      </c>
      <c r="F648" s="210"/>
      <c r="G648" s="210"/>
      <c r="H648" s="210"/>
      <c r="I648" s="210"/>
      <c r="J648" s="210"/>
      <c r="K648" s="210"/>
      <c r="L648" s="210"/>
      <c r="M648" s="210"/>
      <c r="N648" s="210"/>
      <c r="O648" s="196"/>
    </row>
    <row r="649" spans="1:15" s="212" customFormat="1" ht="15.75">
      <c r="A649" s="209" t="str">
        <f ca="1">IF(ISNA(VLOOKUP(D649,'Standard Smelter Names'!$B$3:$E$165,4,FALSE)),"",VLOOKUP(D649,'Standard Smelter Names'!$B$3:$E$165,4,FALSE))</f>
        <v/>
      </c>
      <c r="B649" s="210"/>
      <c r="C649" s="211"/>
      <c r="D649" s="211" t="str">
        <f t="shared" si="20"/>
        <v/>
      </c>
      <c r="E649" s="210" t="str">
        <f t="shared" si="21"/>
        <v/>
      </c>
      <c r="F649" s="210"/>
      <c r="G649" s="210"/>
      <c r="H649" s="210"/>
      <c r="I649" s="210"/>
      <c r="J649" s="210"/>
      <c r="K649" s="210"/>
      <c r="L649" s="210"/>
      <c r="M649" s="210"/>
      <c r="N649" s="210"/>
      <c r="O649" s="196"/>
    </row>
    <row r="650" spans="1:15" s="212" customFormat="1" ht="15.75">
      <c r="A650" s="209" t="str">
        <f ca="1">IF(ISNA(VLOOKUP(D650,'Standard Smelter Names'!$B$3:$E$165,4,FALSE)),"",VLOOKUP(D650,'Standard Smelter Names'!$B$3:$E$165,4,FALSE))</f>
        <v/>
      </c>
      <c r="B650" s="210"/>
      <c r="C650" s="211"/>
      <c r="D650" s="211" t="str">
        <f t="shared" si="20"/>
        <v/>
      </c>
      <c r="E650" s="210" t="str">
        <f t="shared" si="21"/>
        <v/>
      </c>
      <c r="F650" s="210"/>
      <c r="G650" s="210"/>
      <c r="H650" s="210"/>
      <c r="I650" s="210"/>
      <c r="J650" s="210"/>
      <c r="K650" s="210"/>
      <c r="L650" s="210"/>
      <c r="M650" s="210"/>
      <c r="N650" s="210"/>
      <c r="O650" s="196"/>
    </row>
    <row r="651" spans="1:15" s="212" customFormat="1" ht="15.75">
      <c r="A651" s="209" t="str">
        <f ca="1">IF(ISNA(VLOOKUP(D651,'Standard Smelter Names'!$B$3:$E$165,4,FALSE)),"",VLOOKUP(D651,'Standard Smelter Names'!$B$3:$E$165,4,FALSE))</f>
        <v/>
      </c>
      <c r="B651" s="210"/>
      <c r="C651" s="211"/>
      <c r="D651" s="211" t="str">
        <f t="shared" si="20"/>
        <v/>
      </c>
      <c r="E651" s="210" t="str">
        <f t="shared" si="21"/>
        <v/>
      </c>
      <c r="F651" s="210"/>
      <c r="G651" s="210"/>
      <c r="H651" s="210"/>
      <c r="I651" s="210"/>
      <c r="J651" s="210"/>
      <c r="K651" s="210"/>
      <c r="L651" s="210"/>
      <c r="M651" s="210"/>
      <c r="N651" s="210"/>
      <c r="O651" s="196"/>
    </row>
    <row r="652" spans="1:15" s="212" customFormat="1" ht="15.75">
      <c r="A652" s="209" t="str">
        <f ca="1">IF(ISNA(VLOOKUP(D652,'Standard Smelter Names'!$B$3:$E$165,4,FALSE)),"",VLOOKUP(D652,'Standard Smelter Names'!$B$3:$E$165,4,FALSE))</f>
        <v/>
      </c>
      <c r="B652" s="210"/>
      <c r="C652" s="211"/>
      <c r="D652" s="211" t="str">
        <f t="shared" si="20"/>
        <v/>
      </c>
      <c r="E652" s="210" t="str">
        <f t="shared" si="21"/>
        <v/>
      </c>
      <c r="F652" s="210"/>
      <c r="G652" s="210"/>
      <c r="H652" s="210"/>
      <c r="I652" s="210"/>
      <c r="J652" s="210"/>
      <c r="K652" s="210"/>
      <c r="L652" s="210"/>
      <c r="M652" s="210"/>
      <c r="N652" s="210"/>
      <c r="O652" s="196"/>
    </row>
    <row r="653" spans="1:15" s="212" customFormat="1" ht="15.75">
      <c r="A653" s="209" t="str">
        <f ca="1">IF(ISNA(VLOOKUP(D653,'Standard Smelter Names'!$B$3:$E$165,4,FALSE)),"",VLOOKUP(D653,'Standard Smelter Names'!$B$3:$E$165,4,FALSE))</f>
        <v/>
      </c>
      <c r="B653" s="210"/>
      <c r="C653" s="211"/>
      <c r="D653" s="211" t="str">
        <f t="shared" si="20"/>
        <v/>
      </c>
      <c r="E653" s="210" t="str">
        <f t="shared" si="21"/>
        <v/>
      </c>
      <c r="F653" s="210"/>
      <c r="G653" s="210"/>
      <c r="H653" s="210"/>
      <c r="I653" s="210"/>
      <c r="J653" s="210"/>
      <c r="K653" s="210"/>
      <c r="L653" s="210"/>
      <c r="M653" s="210"/>
      <c r="N653" s="210"/>
      <c r="O653" s="196"/>
    </row>
    <row r="654" spans="1:15" s="212" customFormat="1" ht="15.75">
      <c r="A654" s="209" t="str">
        <f ca="1">IF(ISNA(VLOOKUP(D654,'Standard Smelter Names'!$B$3:$E$165,4,FALSE)),"",VLOOKUP(D654,'Standard Smelter Names'!$B$3:$E$165,4,FALSE))</f>
        <v/>
      </c>
      <c r="B654" s="210"/>
      <c r="C654" s="211"/>
      <c r="D654" s="211" t="str">
        <f t="shared" si="20"/>
        <v/>
      </c>
      <c r="E654" s="210" t="str">
        <f t="shared" si="21"/>
        <v/>
      </c>
      <c r="F654" s="210"/>
      <c r="G654" s="210"/>
      <c r="H654" s="210"/>
      <c r="I654" s="210"/>
      <c r="J654" s="210"/>
      <c r="K654" s="210"/>
      <c r="L654" s="210"/>
      <c r="M654" s="210"/>
      <c r="N654" s="210"/>
      <c r="O654" s="196"/>
    </row>
    <row r="655" spans="1:15" s="212" customFormat="1" ht="15.75">
      <c r="A655" s="209" t="str">
        <f ca="1">IF(ISNA(VLOOKUP(D655,'Standard Smelter Names'!$B$3:$E$165,4,FALSE)),"",VLOOKUP(D655,'Standard Smelter Names'!$B$3:$E$165,4,FALSE))</f>
        <v/>
      </c>
      <c r="B655" s="210"/>
      <c r="C655" s="211"/>
      <c r="D655" s="211" t="str">
        <f t="shared" si="20"/>
        <v/>
      </c>
      <c r="E655" s="210" t="str">
        <f t="shared" si="21"/>
        <v/>
      </c>
      <c r="F655" s="210"/>
      <c r="G655" s="210"/>
      <c r="H655" s="210"/>
      <c r="I655" s="210"/>
      <c r="J655" s="210"/>
      <c r="K655" s="210"/>
      <c r="L655" s="210"/>
      <c r="M655" s="210"/>
      <c r="N655" s="210"/>
      <c r="O655" s="196"/>
    </row>
    <row r="656" spans="1:15" s="212" customFormat="1" ht="15.75">
      <c r="A656" s="209" t="str">
        <f ca="1">IF(ISNA(VLOOKUP(D656,'Standard Smelter Names'!$B$3:$E$165,4,FALSE)),"",VLOOKUP(D656,'Standard Smelter Names'!$B$3:$E$165,4,FALSE))</f>
        <v/>
      </c>
      <c r="B656" s="210"/>
      <c r="C656" s="211"/>
      <c r="D656" s="211" t="str">
        <f t="shared" si="20"/>
        <v/>
      </c>
      <c r="E656" s="210" t="str">
        <f t="shared" si="21"/>
        <v/>
      </c>
      <c r="F656" s="210"/>
      <c r="G656" s="210"/>
      <c r="H656" s="210"/>
      <c r="I656" s="210"/>
      <c r="J656" s="210"/>
      <c r="K656" s="210"/>
      <c r="L656" s="210"/>
      <c r="M656" s="210"/>
      <c r="N656" s="210"/>
      <c r="O656" s="196"/>
    </row>
    <row r="657" spans="1:15" s="212" customFormat="1" ht="15.75">
      <c r="A657" s="209" t="str">
        <f ca="1">IF(ISNA(VLOOKUP(D657,'Standard Smelter Names'!$B$3:$E$165,4,FALSE)),"",VLOOKUP(D657,'Standard Smelter Names'!$B$3:$E$165,4,FALSE))</f>
        <v/>
      </c>
      <c r="B657" s="210"/>
      <c r="C657" s="211"/>
      <c r="D657" s="211" t="str">
        <f t="shared" si="20"/>
        <v/>
      </c>
      <c r="E657" s="210" t="str">
        <f t="shared" si="21"/>
        <v/>
      </c>
      <c r="F657" s="210"/>
      <c r="G657" s="210"/>
      <c r="H657" s="210"/>
      <c r="I657" s="210"/>
      <c r="J657" s="210"/>
      <c r="K657" s="210"/>
      <c r="L657" s="210"/>
      <c r="M657" s="210"/>
      <c r="N657" s="210"/>
      <c r="O657" s="196"/>
    </row>
    <row r="658" spans="1:15" s="212" customFormat="1" ht="15.75">
      <c r="A658" s="209" t="str">
        <f ca="1">IF(ISNA(VLOOKUP(D658,'Standard Smelter Names'!$B$3:$E$165,4,FALSE)),"",VLOOKUP(D658,'Standard Smelter Names'!$B$3:$E$165,4,FALSE))</f>
        <v/>
      </c>
      <c r="B658" s="210"/>
      <c r="C658" s="211"/>
      <c r="D658" s="211" t="str">
        <f t="shared" si="20"/>
        <v/>
      </c>
      <c r="E658" s="210" t="str">
        <f t="shared" si="21"/>
        <v/>
      </c>
      <c r="F658" s="210"/>
      <c r="G658" s="210"/>
      <c r="H658" s="210"/>
      <c r="I658" s="210"/>
      <c r="J658" s="210"/>
      <c r="K658" s="210"/>
      <c r="L658" s="210"/>
      <c r="M658" s="210"/>
      <c r="N658" s="210"/>
      <c r="O658" s="196"/>
    </row>
    <row r="659" spans="1:15" s="212" customFormat="1" ht="15.75">
      <c r="A659" s="209" t="str">
        <f ca="1">IF(ISNA(VLOOKUP(D659,'Standard Smelter Names'!$B$3:$E$165,4,FALSE)),"",VLOOKUP(D659,'Standard Smelter Names'!$B$3:$E$165,4,FALSE))</f>
        <v/>
      </c>
      <c r="B659" s="210"/>
      <c r="C659" s="211"/>
      <c r="D659" s="211" t="str">
        <f t="shared" si="20"/>
        <v/>
      </c>
      <c r="E659" s="210" t="str">
        <f t="shared" si="21"/>
        <v/>
      </c>
      <c r="F659" s="210"/>
      <c r="G659" s="210"/>
      <c r="H659" s="210"/>
      <c r="I659" s="210"/>
      <c r="J659" s="210"/>
      <c r="K659" s="210"/>
      <c r="L659" s="210"/>
      <c r="M659" s="210"/>
      <c r="N659" s="210"/>
      <c r="O659" s="196"/>
    </row>
    <row r="660" spans="1:15" s="212" customFormat="1" ht="15.75">
      <c r="A660" s="209" t="str">
        <f ca="1">IF(ISNA(VLOOKUP(D660,'Standard Smelter Names'!$B$3:$E$165,4,FALSE)),"",VLOOKUP(D660,'Standard Smelter Names'!$B$3:$E$165,4,FALSE))</f>
        <v/>
      </c>
      <c r="B660" s="210"/>
      <c r="C660" s="211"/>
      <c r="D660" s="211" t="str">
        <f t="shared" si="20"/>
        <v/>
      </c>
      <c r="E660" s="210" t="str">
        <f t="shared" si="21"/>
        <v/>
      </c>
      <c r="F660" s="210"/>
      <c r="G660" s="210"/>
      <c r="H660" s="210"/>
      <c r="I660" s="210"/>
      <c r="J660" s="210"/>
      <c r="K660" s="210"/>
      <c r="L660" s="210"/>
      <c r="M660" s="210"/>
      <c r="N660" s="210"/>
      <c r="O660" s="196"/>
    </row>
    <row r="661" spans="1:15" s="212" customFormat="1" ht="15.75">
      <c r="A661" s="209" t="str">
        <f ca="1">IF(ISNA(VLOOKUP(D661,'Standard Smelter Names'!$B$3:$E$165,4,FALSE)),"",VLOOKUP(D661,'Standard Smelter Names'!$B$3:$E$165,4,FALSE))</f>
        <v/>
      </c>
      <c r="B661" s="210"/>
      <c r="C661" s="211"/>
      <c r="D661" s="211" t="str">
        <f t="shared" si="20"/>
        <v/>
      </c>
      <c r="E661" s="210" t="str">
        <f t="shared" si="21"/>
        <v/>
      </c>
      <c r="F661" s="210"/>
      <c r="G661" s="210"/>
      <c r="H661" s="210"/>
      <c r="I661" s="210"/>
      <c r="J661" s="210"/>
      <c r="K661" s="210"/>
      <c r="L661" s="210"/>
      <c r="M661" s="210"/>
      <c r="N661" s="210"/>
      <c r="O661" s="196"/>
    </row>
    <row r="662" spans="1:15" s="212" customFormat="1" ht="15.75">
      <c r="A662" s="209" t="str">
        <f ca="1">IF(ISNA(VLOOKUP(D662,'Standard Smelter Names'!$B$3:$E$165,4,FALSE)),"",VLOOKUP(D662,'Standard Smelter Names'!$B$3:$E$165,4,FALSE))</f>
        <v/>
      </c>
      <c r="B662" s="210"/>
      <c r="C662" s="211"/>
      <c r="D662" s="211" t="str">
        <f t="shared" si="20"/>
        <v/>
      </c>
      <c r="E662" s="210" t="str">
        <f t="shared" si="21"/>
        <v/>
      </c>
      <c r="F662" s="210"/>
      <c r="G662" s="210"/>
      <c r="H662" s="210"/>
      <c r="I662" s="210"/>
      <c r="J662" s="210"/>
      <c r="K662" s="210"/>
      <c r="L662" s="210"/>
      <c r="M662" s="210"/>
      <c r="N662" s="210"/>
      <c r="O662" s="196"/>
    </row>
    <row r="663" spans="1:15" s="212" customFormat="1" ht="15.75">
      <c r="A663" s="209" t="str">
        <f ca="1">IF(ISNA(VLOOKUP(D663,'Standard Smelter Names'!$B$3:$E$165,4,FALSE)),"",VLOOKUP(D663,'Standard Smelter Names'!$B$3:$E$165,4,FALSE))</f>
        <v/>
      </c>
      <c r="B663" s="210"/>
      <c r="C663" s="211"/>
      <c r="D663" s="211" t="str">
        <f t="shared" si="20"/>
        <v/>
      </c>
      <c r="E663" s="210" t="str">
        <f t="shared" si="21"/>
        <v/>
      </c>
      <c r="F663" s="210"/>
      <c r="G663" s="210"/>
      <c r="H663" s="210"/>
      <c r="I663" s="210"/>
      <c r="J663" s="210"/>
      <c r="K663" s="210"/>
      <c r="L663" s="210"/>
      <c r="M663" s="210"/>
      <c r="N663" s="210"/>
      <c r="O663" s="196"/>
    </row>
    <row r="664" spans="1:15" s="212" customFormat="1" ht="15.75">
      <c r="A664" s="209" t="str">
        <f ca="1">IF(ISNA(VLOOKUP(D664,'Standard Smelter Names'!$B$3:$E$165,4,FALSE)),"",VLOOKUP(D664,'Standard Smelter Names'!$B$3:$E$165,4,FALSE))</f>
        <v/>
      </c>
      <c r="B664" s="210"/>
      <c r="C664" s="211"/>
      <c r="D664" s="211" t="str">
        <f t="shared" si="20"/>
        <v/>
      </c>
      <c r="E664" s="210" t="str">
        <f t="shared" si="21"/>
        <v/>
      </c>
      <c r="F664" s="210"/>
      <c r="G664" s="210"/>
      <c r="H664" s="210"/>
      <c r="I664" s="210"/>
      <c r="J664" s="210"/>
      <c r="K664" s="210"/>
      <c r="L664" s="210"/>
      <c r="M664" s="210"/>
      <c r="N664" s="210"/>
      <c r="O664" s="196"/>
    </row>
    <row r="665" spans="1:15" s="212" customFormat="1" ht="15.75">
      <c r="A665" s="209" t="str">
        <f ca="1">IF(ISNA(VLOOKUP(D665,'Standard Smelter Names'!$B$3:$E$165,4,FALSE)),"",VLOOKUP(D665,'Standard Smelter Names'!$B$3:$E$165,4,FALSE))</f>
        <v/>
      </c>
      <c r="B665" s="210"/>
      <c r="C665" s="211"/>
      <c r="D665" s="211" t="str">
        <f t="shared" si="20"/>
        <v/>
      </c>
      <c r="E665" s="210" t="str">
        <f t="shared" si="21"/>
        <v/>
      </c>
      <c r="F665" s="210"/>
      <c r="G665" s="210"/>
      <c r="H665" s="210"/>
      <c r="I665" s="210"/>
      <c r="J665" s="210"/>
      <c r="K665" s="210"/>
      <c r="L665" s="210"/>
      <c r="M665" s="210"/>
      <c r="N665" s="210"/>
      <c r="O665" s="196"/>
    </row>
    <row r="666" spans="1:15" s="212" customFormat="1" ht="15.75">
      <c r="A666" s="209" t="str">
        <f ca="1">IF(ISNA(VLOOKUP(D666,'Standard Smelter Names'!$B$3:$E$165,4,FALSE)),"",VLOOKUP(D666,'Standard Smelter Names'!$B$3:$E$165,4,FALSE))</f>
        <v/>
      </c>
      <c r="B666" s="210"/>
      <c r="C666" s="211"/>
      <c r="D666" s="211" t="str">
        <f t="shared" si="20"/>
        <v/>
      </c>
      <c r="E666" s="210" t="str">
        <f t="shared" si="21"/>
        <v/>
      </c>
      <c r="F666" s="210"/>
      <c r="G666" s="210"/>
      <c r="H666" s="210"/>
      <c r="I666" s="210"/>
      <c r="J666" s="210"/>
      <c r="K666" s="210"/>
      <c r="L666" s="210"/>
      <c r="M666" s="210"/>
      <c r="N666" s="210"/>
      <c r="O666" s="196"/>
    </row>
    <row r="667" spans="1:15" s="212" customFormat="1" ht="15.75">
      <c r="A667" s="209" t="str">
        <f ca="1">IF(ISNA(VLOOKUP(D667,'Standard Smelter Names'!$B$3:$E$165,4,FALSE)),"",VLOOKUP(D667,'Standard Smelter Names'!$B$3:$E$165,4,FALSE))</f>
        <v/>
      </c>
      <c r="B667" s="210"/>
      <c r="C667" s="211"/>
      <c r="D667" s="211" t="str">
        <f t="shared" si="20"/>
        <v/>
      </c>
      <c r="E667" s="210" t="str">
        <f t="shared" si="21"/>
        <v/>
      </c>
      <c r="F667" s="210"/>
      <c r="G667" s="210"/>
      <c r="H667" s="210"/>
      <c r="I667" s="210"/>
      <c r="J667" s="210"/>
      <c r="K667" s="210"/>
      <c r="L667" s="210"/>
      <c r="M667" s="210"/>
      <c r="N667" s="210"/>
      <c r="O667" s="196"/>
    </row>
    <row r="668" spans="1:15" s="212" customFormat="1" ht="15.75">
      <c r="A668" s="209" t="str">
        <f ca="1">IF(ISNA(VLOOKUP(D668,'Standard Smelter Names'!$B$3:$E$165,4,FALSE)),"",VLOOKUP(D668,'Standard Smelter Names'!$B$3:$E$165,4,FALSE))</f>
        <v/>
      </c>
      <c r="B668" s="210"/>
      <c r="C668" s="211"/>
      <c r="D668" s="211" t="str">
        <f t="shared" si="20"/>
        <v/>
      </c>
      <c r="E668" s="210" t="str">
        <f t="shared" si="21"/>
        <v/>
      </c>
      <c r="F668" s="210"/>
      <c r="G668" s="210"/>
      <c r="H668" s="210"/>
      <c r="I668" s="210"/>
      <c r="J668" s="210"/>
      <c r="K668" s="210"/>
      <c r="L668" s="210"/>
      <c r="M668" s="210"/>
      <c r="N668" s="210"/>
      <c r="O668" s="196"/>
    </row>
    <row r="669" spans="1:15" s="212" customFormat="1" ht="15.75">
      <c r="A669" s="209" t="str">
        <f ca="1">IF(ISNA(VLOOKUP(D669,'Standard Smelter Names'!$B$3:$E$165,4,FALSE)),"",VLOOKUP(D669,'Standard Smelter Names'!$B$3:$E$165,4,FALSE))</f>
        <v/>
      </c>
      <c r="B669" s="210"/>
      <c r="C669" s="211"/>
      <c r="D669" s="211" t="str">
        <f t="shared" si="20"/>
        <v/>
      </c>
      <c r="E669" s="210" t="str">
        <f t="shared" si="21"/>
        <v/>
      </c>
      <c r="F669" s="210"/>
      <c r="G669" s="210"/>
      <c r="H669" s="210"/>
      <c r="I669" s="210"/>
      <c r="J669" s="210"/>
      <c r="K669" s="210"/>
      <c r="L669" s="210"/>
      <c r="M669" s="210"/>
      <c r="N669" s="210"/>
      <c r="O669" s="196"/>
    </row>
    <row r="670" spans="1:15" s="212" customFormat="1" ht="15.75">
      <c r="A670" s="209" t="str">
        <f ca="1">IF(ISNA(VLOOKUP(D670,'Standard Smelter Names'!$B$3:$E$165,4,FALSE)),"",VLOOKUP(D670,'Standard Smelter Names'!$B$3:$E$165,4,FALSE))</f>
        <v/>
      </c>
      <c r="B670" s="210"/>
      <c r="C670" s="211"/>
      <c r="D670" s="211" t="str">
        <f t="shared" si="20"/>
        <v/>
      </c>
      <c r="E670" s="210" t="str">
        <f t="shared" si="21"/>
        <v/>
      </c>
      <c r="F670" s="210"/>
      <c r="G670" s="210"/>
      <c r="H670" s="210"/>
      <c r="I670" s="210"/>
      <c r="J670" s="210"/>
      <c r="K670" s="210"/>
      <c r="L670" s="210"/>
      <c r="M670" s="210"/>
      <c r="N670" s="210"/>
      <c r="O670" s="196"/>
    </row>
    <row r="671" spans="1:15" s="212" customFormat="1" ht="15.75">
      <c r="A671" s="209" t="str">
        <f ca="1">IF(ISNA(VLOOKUP(D671,'Standard Smelter Names'!$B$3:$E$165,4,FALSE)),"",VLOOKUP(D671,'Standard Smelter Names'!$B$3:$E$165,4,FALSE))</f>
        <v/>
      </c>
      <c r="B671" s="210"/>
      <c r="C671" s="211"/>
      <c r="D671" s="211" t="str">
        <f t="shared" si="20"/>
        <v/>
      </c>
      <c r="E671" s="210" t="str">
        <f t="shared" si="21"/>
        <v/>
      </c>
      <c r="F671" s="210"/>
      <c r="G671" s="210"/>
      <c r="H671" s="210"/>
      <c r="I671" s="210"/>
      <c r="J671" s="210"/>
      <c r="K671" s="210"/>
      <c r="L671" s="210"/>
      <c r="M671" s="210"/>
      <c r="N671" s="210"/>
      <c r="O671" s="196"/>
    </row>
    <row r="672" spans="1:15" s="212" customFormat="1" ht="15.75">
      <c r="A672" s="209" t="str">
        <f ca="1">IF(ISNA(VLOOKUP(D672,'Standard Smelter Names'!$B$3:$E$165,4,FALSE)),"",VLOOKUP(D672,'Standard Smelter Names'!$B$3:$E$165,4,FALSE))</f>
        <v/>
      </c>
      <c r="B672" s="210"/>
      <c r="C672" s="211"/>
      <c r="D672" s="211" t="str">
        <f t="shared" si="20"/>
        <v/>
      </c>
      <c r="E672" s="210" t="str">
        <f t="shared" si="21"/>
        <v/>
      </c>
      <c r="F672" s="210"/>
      <c r="G672" s="210"/>
      <c r="H672" s="210"/>
      <c r="I672" s="210"/>
      <c r="J672" s="210"/>
      <c r="K672" s="210"/>
      <c r="L672" s="210"/>
      <c r="M672" s="210"/>
      <c r="N672" s="210"/>
      <c r="O672" s="196"/>
    </row>
    <row r="673" spans="1:15" s="212" customFormat="1" ht="15.75">
      <c r="A673" s="209" t="str">
        <f ca="1">IF(ISNA(VLOOKUP(D673,'Standard Smelter Names'!$B$3:$E$165,4,FALSE)),"",VLOOKUP(D673,'Standard Smelter Names'!$B$3:$E$165,4,FALSE))</f>
        <v/>
      </c>
      <c r="B673" s="210"/>
      <c r="C673" s="211"/>
      <c r="D673" s="211" t="str">
        <f t="shared" si="20"/>
        <v/>
      </c>
      <c r="E673" s="210" t="str">
        <f t="shared" si="21"/>
        <v/>
      </c>
      <c r="F673" s="210"/>
      <c r="G673" s="210"/>
      <c r="H673" s="210"/>
      <c r="I673" s="210"/>
      <c r="J673" s="210"/>
      <c r="K673" s="210"/>
      <c r="L673" s="210"/>
      <c r="M673" s="210"/>
      <c r="N673" s="210"/>
      <c r="O673" s="196"/>
    </row>
    <row r="674" spans="1:15" s="212" customFormat="1" ht="15.75">
      <c r="A674" s="209" t="str">
        <f ca="1">IF(ISNA(VLOOKUP(D674,'Standard Smelter Names'!$B$3:$E$165,4,FALSE)),"",VLOOKUP(D674,'Standard Smelter Names'!$B$3:$E$165,4,FALSE))</f>
        <v/>
      </c>
      <c r="B674" s="210"/>
      <c r="C674" s="211"/>
      <c r="D674" s="211" t="str">
        <f t="shared" si="20"/>
        <v/>
      </c>
      <c r="E674" s="210" t="str">
        <f t="shared" si="21"/>
        <v/>
      </c>
      <c r="F674" s="210"/>
      <c r="G674" s="210"/>
      <c r="H674" s="210"/>
      <c r="I674" s="210"/>
      <c r="J674" s="210"/>
      <c r="K674" s="210"/>
      <c r="L674" s="210"/>
      <c r="M674" s="210"/>
      <c r="N674" s="210"/>
      <c r="O674" s="196"/>
    </row>
    <row r="675" spans="1:15" s="212" customFormat="1" ht="15.75">
      <c r="A675" s="209" t="str">
        <f ca="1">IF(ISNA(VLOOKUP(D675,'Standard Smelter Names'!$B$3:$E$165,4,FALSE)),"",VLOOKUP(D675,'Standard Smelter Names'!$B$3:$E$165,4,FALSE))</f>
        <v/>
      </c>
      <c r="B675" s="210"/>
      <c r="C675" s="211"/>
      <c r="D675" s="211" t="str">
        <f t="shared" si="20"/>
        <v/>
      </c>
      <c r="E675" s="210" t="str">
        <f t="shared" si="21"/>
        <v/>
      </c>
      <c r="F675" s="210"/>
      <c r="G675" s="210"/>
      <c r="H675" s="210"/>
      <c r="I675" s="210"/>
      <c r="J675" s="210"/>
      <c r="K675" s="210"/>
      <c r="L675" s="210"/>
      <c r="M675" s="210"/>
      <c r="N675" s="210"/>
      <c r="O675" s="196"/>
    </row>
    <row r="676" spans="1:15" s="212" customFormat="1" ht="15.75">
      <c r="A676" s="209" t="str">
        <f ca="1">IF(ISNA(VLOOKUP(D676,'Standard Smelter Names'!$B$3:$E$165,4,FALSE)),"",VLOOKUP(D676,'Standard Smelter Names'!$B$3:$E$165,4,FALSE))</f>
        <v/>
      </c>
      <c r="B676" s="210"/>
      <c r="C676" s="211"/>
      <c r="D676" s="211" t="str">
        <f t="shared" si="20"/>
        <v/>
      </c>
      <c r="E676" s="210" t="str">
        <f t="shared" si="21"/>
        <v/>
      </c>
      <c r="F676" s="210"/>
      <c r="G676" s="210"/>
      <c r="H676" s="210"/>
      <c r="I676" s="210"/>
      <c r="J676" s="210"/>
      <c r="K676" s="210"/>
      <c r="L676" s="210"/>
      <c r="M676" s="210"/>
      <c r="N676" s="210"/>
      <c r="O676" s="196"/>
    </row>
    <row r="677" spans="1:15" s="212" customFormat="1" ht="15.75">
      <c r="A677" s="209" t="str">
        <f ca="1">IF(ISNA(VLOOKUP(D677,'Standard Smelter Names'!$B$3:$E$165,4,FALSE)),"",VLOOKUP(D677,'Standard Smelter Names'!$B$3:$E$165,4,FALSE))</f>
        <v/>
      </c>
      <c r="B677" s="210"/>
      <c r="C677" s="211"/>
      <c r="D677" s="211" t="str">
        <f t="shared" si="20"/>
        <v/>
      </c>
      <c r="E677" s="210" t="str">
        <f t="shared" si="21"/>
        <v/>
      </c>
      <c r="F677" s="210"/>
      <c r="G677" s="210"/>
      <c r="H677" s="210"/>
      <c r="I677" s="210"/>
      <c r="J677" s="210"/>
      <c r="K677" s="210"/>
      <c r="L677" s="210"/>
      <c r="M677" s="210"/>
      <c r="N677" s="210"/>
      <c r="O677" s="196"/>
    </row>
    <row r="678" spans="1:15" s="212" customFormat="1" ht="15.75">
      <c r="A678" s="209" t="str">
        <f ca="1">IF(ISNA(VLOOKUP(D678,'Standard Smelter Names'!$B$3:$E$165,4,FALSE)),"",VLOOKUP(D678,'Standard Smelter Names'!$B$3:$E$165,4,FALSE))</f>
        <v/>
      </c>
      <c r="B678" s="210"/>
      <c r="C678" s="211"/>
      <c r="D678" s="211" t="str">
        <f t="shared" si="20"/>
        <v/>
      </c>
      <c r="E678" s="210" t="str">
        <f t="shared" si="21"/>
        <v/>
      </c>
      <c r="F678" s="210"/>
      <c r="G678" s="210"/>
      <c r="H678" s="210"/>
      <c r="I678" s="210"/>
      <c r="J678" s="210"/>
      <c r="K678" s="210"/>
      <c r="L678" s="210"/>
      <c r="M678" s="210"/>
      <c r="N678" s="210"/>
      <c r="O678" s="196"/>
    </row>
    <row r="679" spans="1:15" s="212" customFormat="1" ht="15.75">
      <c r="A679" s="209" t="str">
        <f ca="1">IF(ISNA(VLOOKUP(D679,'Standard Smelter Names'!$B$3:$E$165,4,FALSE)),"",VLOOKUP(D679,'Standard Smelter Names'!$B$3:$E$165,4,FALSE))</f>
        <v/>
      </c>
      <c r="B679" s="210"/>
      <c r="C679" s="211"/>
      <c r="D679" s="211" t="str">
        <f t="shared" si="20"/>
        <v/>
      </c>
      <c r="E679" s="210" t="str">
        <f t="shared" si="21"/>
        <v/>
      </c>
      <c r="F679" s="210"/>
      <c r="G679" s="210"/>
      <c r="H679" s="210"/>
      <c r="I679" s="210"/>
      <c r="J679" s="210"/>
      <c r="K679" s="210"/>
      <c r="L679" s="210"/>
      <c r="M679" s="210"/>
      <c r="N679" s="210"/>
      <c r="O679" s="196"/>
    </row>
    <row r="680" spans="1:15" s="212" customFormat="1" ht="15.75">
      <c r="A680" s="209" t="str">
        <f ca="1">IF(ISNA(VLOOKUP(D680,'Standard Smelter Names'!$B$3:$E$165,4,FALSE)),"",VLOOKUP(D680,'Standard Smelter Names'!$B$3:$E$165,4,FALSE))</f>
        <v/>
      </c>
      <c r="B680" s="210"/>
      <c r="C680" s="211"/>
      <c r="D680" s="211" t="str">
        <f t="shared" si="20"/>
        <v/>
      </c>
      <c r="E680" s="210" t="str">
        <f t="shared" si="21"/>
        <v/>
      </c>
      <c r="F680" s="210"/>
      <c r="G680" s="210"/>
      <c r="H680" s="210"/>
      <c r="I680" s="210"/>
      <c r="J680" s="210"/>
      <c r="K680" s="210"/>
      <c r="L680" s="210"/>
      <c r="M680" s="210"/>
      <c r="N680" s="210"/>
      <c r="O680" s="196"/>
    </row>
    <row r="681" spans="1:15" s="212" customFormat="1" ht="15.75">
      <c r="A681" s="209" t="str">
        <f ca="1">IF(ISNA(VLOOKUP(D681,'Standard Smelter Names'!$B$3:$E$165,4,FALSE)),"",VLOOKUP(D681,'Standard Smelter Names'!$B$3:$E$165,4,FALSE))</f>
        <v/>
      </c>
      <c r="B681" s="210"/>
      <c r="C681" s="211"/>
      <c r="D681" s="211" t="str">
        <f t="shared" si="20"/>
        <v/>
      </c>
      <c r="E681" s="210" t="str">
        <f t="shared" si="21"/>
        <v/>
      </c>
      <c r="F681" s="210"/>
      <c r="G681" s="210"/>
      <c r="H681" s="210"/>
      <c r="I681" s="210"/>
      <c r="J681" s="210"/>
      <c r="K681" s="210"/>
      <c r="L681" s="210"/>
      <c r="M681" s="210"/>
      <c r="N681" s="210"/>
      <c r="O681" s="196"/>
    </row>
    <row r="682" spans="1:15" s="212" customFormat="1" ht="15.75">
      <c r="A682" s="209" t="str">
        <f ca="1">IF(ISNA(VLOOKUP(D682,'Standard Smelter Names'!$B$3:$E$165,4,FALSE)),"",VLOOKUP(D682,'Standard Smelter Names'!$B$3:$E$165,4,FALSE))</f>
        <v/>
      </c>
      <c r="B682" s="210"/>
      <c r="C682" s="211"/>
      <c r="D682" s="211" t="str">
        <f t="shared" si="20"/>
        <v/>
      </c>
      <c r="E682" s="210" t="str">
        <f t="shared" si="21"/>
        <v/>
      </c>
      <c r="F682" s="210"/>
      <c r="G682" s="210"/>
      <c r="H682" s="210"/>
      <c r="I682" s="210"/>
      <c r="J682" s="210"/>
      <c r="K682" s="210"/>
      <c r="L682" s="210"/>
      <c r="M682" s="210"/>
      <c r="N682" s="210"/>
      <c r="O682" s="196"/>
    </row>
    <row r="683" spans="1:15" s="212" customFormat="1" ht="15.75">
      <c r="A683" s="209" t="str">
        <f ca="1">IF(ISNA(VLOOKUP(D683,'Standard Smelter Names'!$B$3:$E$165,4,FALSE)),"",VLOOKUP(D683,'Standard Smelter Names'!$B$3:$E$165,4,FALSE))</f>
        <v/>
      </c>
      <c r="B683" s="210"/>
      <c r="C683" s="211"/>
      <c r="D683" s="211" t="str">
        <f t="shared" si="20"/>
        <v/>
      </c>
      <c r="E683" s="210" t="str">
        <f t="shared" si="21"/>
        <v/>
      </c>
      <c r="F683" s="210"/>
      <c r="G683" s="210"/>
      <c r="H683" s="210"/>
      <c r="I683" s="210"/>
      <c r="J683" s="210"/>
      <c r="K683" s="210"/>
      <c r="L683" s="210"/>
      <c r="M683" s="210"/>
      <c r="N683" s="210"/>
      <c r="O683" s="196"/>
    </row>
    <row r="684" spans="1:15" s="212" customFormat="1" ht="15.75">
      <c r="A684" s="209" t="str">
        <f ca="1">IF(ISNA(VLOOKUP(D684,'Standard Smelter Names'!$B$3:$E$165,4,FALSE)),"",VLOOKUP(D684,'Standard Smelter Names'!$B$3:$E$165,4,FALSE))</f>
        <v/>
      </c>
      <c r="B684" s="210"/>
      <c r="C684" s="211"/>
      <c r="D684" s="211" t="str">
        <f t="shared" si="20"/>
        <v/>
      </c>
      <c r="E684" s="210" t="str">
        <f t="shared" si="21"/>
        <v/>
      </c>
      <c r="F684" s="210"/>
      <c r="G684" s="210"/>
      <c r="H684" s="210"/>
      <c r="I684" s="210"/>
      <c r="J684" s="210"/>
      <c r="K684" s="210"/>
      <c r="L684" s="210"/>
      <c r="M684" s="210"/>
      <c r="N684" s="210"/>
      <c r="O684" s="196"/>
    </row>
    <row r="685" spans="1:15" s="212" customFormat="1" ht="15.75">
      <c r="A685" s="209" t="str">
        <f ca="1">IF(ISNA(VLOOKUP(D685,'Standard Smelter Names'!$B$3:$E$165,4,FALSE)),"",VLOOKUP(D685,'Standard Smelter Names'!$B$3:$E$165,4,FALSE))</f>
        <v/>
      </c>
      <c r="B685" s="210"/>
      <c r="C685" s="211"/>
      <c r="D685" s="211" t="str">
        <f t="shared" si="20"/>
        <v/>
      </c>
      <c r="E685" s="210" t="str">
        <f t="shared" si="21"/>
        <v/>
      </c>
      <c r="F685" s="210"/>
      <c r="G685" s="210"/>
      <c r="H685" s="210"/>
      <c r="I685" s="210"/>
      <c r="J685" s="210"/>
      <c r="K685" s="210"/>
      <c r="L685" s="210"/>
      <c r="M685" s="210"/>
      <c r="N685" s="210"/>
      <c r="O685" s="196"/>
    </row>
    <row r="686" spans="1:15" s="212" customFormat="1" ht="15.75">
      <c r="A686" s="209" t="str">
        <f ca="1">IF(ISNA(VLOOKUP(D686,'Standard Smelter Names'!$B$3:$E$165,4,FALSE)),"",VLOOKUP(D686,'Standard Smelter Names'!$B$3:$E$165,4,FALSE))</f>
        <v/>
      </c>
      <c r="B686" s="210"/>
      <c r="C686" s="211"/>
      <c r="D686" s="211" t="str">
        <f t="shared" si="20"/>
        <v/>
      </c>
      <c r="E686" s="210" t="str">
        <f t="shared" si="21"/>
        <v/>
      </c>
      <c r="F686" s="210"/>
      <c r="G686" s="210"/>
      <c r="H686" s="210"/>
      <c r="I686" s="210"/>
      <c r="J686" s="210"/>
      <c r="K686" s="210"/>
      <c r="L686" s="210"/>
      <c r="M686" s="210"/>
      <c r="N686" s="210"/>
      <c r="O686" s="196"/>
    </row>
    <row r="687" spans="1:15" s="212" customFormat="1" ht="15.75">
      <c r="A687" s="209" t="str">
        <f ca="1">IF(ISNA(VLOOKUP(D687,'Standard Smelter Names'!$B$3:$E$165,4,FALSE)),"",VLOOKUP(D687,'Standard Smelter Names'!$B$3:$E$165,4,FALSE))</f>
        <v/>
      </c>
      <c r="B687" s="210"/>
      <c r="C687" s="211"/>
      <c r="D687" s="211" t="str">
        <f t="shared" si="20"/>
        <v/>
      </c>
      <c r="E687" s="210" t="str">
        <f t="shared" si="21"/>
        <v/>
      </c>
      <c r="F687" s="210"/>
      <c r="G687" s="210"/>
      <c r="H687" s="210"/>
      <c r="I687" s="210"/>
      <c r="J687" s="210"/>
      <c r="K687" s="210"/>
      <c r="L687" s="210"/>
      <c r="M687" s="210"/>
      <c r="N687" s="210"/>
      <c r="O687" s="196"/>
    </row>
    <row r="688" spans="1:15" s="212" customFormat="1" ht="15.75">
      <c r="A688" s="209" t="str">
        <f ca="1">IF(ISNA(VLOOKUP(D688,'Standard Smelter Names'!$B$3:$E$165,4,FALSE)),"",VLOOKUP(D688,'Standard Smelter Names'!$B$3:$E$165,4,FALSE))</f>
        <v/>
      </c>
      <c r="B688" s="210"/>
      <c r="C688" s="211"/>
      <c r="D688" s="211" t="str">
        <f t="shared" si="20"/>
        <v/>
      </c>
      <c r="E688" s="210" t="str">
        <f t="shared" si="21"/>
        <v/>
      </c>
      <c r="F688" s="210"/>
      <c r="G688" s="210"/>
      <c r="H688" s="210"/>
      <c r="I688" s="210"/>
      <c r="J688" s="210"/>
      <c r="K688" s="210"/>
      <c r="L688" s="210"/>
      <c r="M688" s="210"/>
      <c r="N688" s="210"/>
      <c r="O688" s="196"/>
    </row>
    <row r="689" spans="1:15" s="212" customFormat="1" ht="15.75">
      <c r="A689" s="209" t="str">
        <f ca="1">IF(ISNA(VLOOKUP(D689,'Standard Smelter Names'!$B$3:$E$165,4,FALSE)),"",VLOOKUP(D689,'Standard Smelter Names'!$B$3:$E$165,4,FALSE))</f>
        <v/>
      </c>
      <c r="B689" s="210"/>
      <c r="C689" s="211"/>
      <c r="D689" s="211" t="str">
        <f t="shared" si="20"/>
        <v/>
      </c>
      <c r="E689" s="210" t="str">
        <f t="shared" si="21"/>
        <v/>
      </c>
      <c r="F689" s="210"/>
      <c r="G689" s="210"/>
      <c r="H689" s="210"/>
      <c r="I689" s="210"/>
      <c r="J689" s="210"/>
      <c r="K689" s="210"/>
      <c r="L689" s="210"/>
      <c r="M689" s="210"/>
      <c r="N689" s="210"/>
      <c r="O689" s="196"/>
    </row>
    <row r="690" spans="1:15" s="212" customFormat="1" ht="15.75">
      <c r="A690" s="209" t="str">
        <f ca="1">IF(ISNA(VLOOKUP(D690,'Standard Smelter Names'!$B$3:$E$165,4,FALSE)),"",VLOOKUP(D690,'Standard Smelter Names'!$B$3:$E$165,4,FALSE))</f>
        <v/>
      </c>
      <c r="B690" s="210"/>
      <c r="C690" s="211"/>
      <c r="D690" s="211" t="str">
        <f t="shared" si="20"/>
        <v/>
      </c>
      <c r="E690" s="210" t="str">
        <f t="shared" si="21"/>
        <v/>
      </c>
      <c r="F690" s="210"/>
      <c r="G690" s="210"/>
      <c r="H690" s="210"/>
      <c r="I690" s="210"/>
      <c r="J690" s="210"/>
      <c r="K690" s="210"/>
      <c r="L690" s="210"/>
      <c r="M690" s="210"/>
      <c r="N690" s="210"/>
      <c r="O690" s="196"/>
    </row>
    <row r="691" spans="1:15" s="212" customFormat="1" ht="15.75">
      <c r="A691" s="209" t="str">
        <f ca="1">IF(ISNA(VLOOKUP(D691,'Standard Smelter Names'!$B$3:$E$165,4,FALSE)),"",VLOOKUP(D691,'Standard Smelter Names'!$B$3:$E$165,4,FALSE))</f>
        <v/>
      </c>
      <c r="B691" s="210"/>
      <c r="C691" s="211"/>
      <c r="D691" s="211" t="str">
        <f t="shared" si="20"/>
        <v/>
      </c>
      <c r="E691" s="210" t="str">
        <f t="shared" si="21"/>
        <v/>
      </c>
      <c r="F691" s="210"/>
      <c r="G691" s="210"/>
      <c r="H691" s="210"/>
      <c r="I691" s="210"/>
      <c r="J691" s="210"/>
      <c r="K691" s="210"/>
      <c r="L691" s="210"/>
      <c r="M691" s="210"/>
      <c r="N691" s="210"/>
      <c r="O691" s="196"/>
    </row>
    <row r="692" spans="1:15" s="212" customFormat="1" ht="15.75">
      <c r="A692" s="209" t="str">
        <f ca="1">IF(ISNA(VLOOKUP(D692,'Standard Smelter Names'!$B$3:$E$165,4,FALSE)),"",VLOOKUP(D692,'Standard Smelter Names'!$B$3:$E$165,4,FALSE))</f>
        <v/>
      </c>
      <c r="B692" s="210"/>
      <c r="C692" s="211"/>
      <c r="D692" s="211" t="str">
        <f t="shared" si="20"/>
        <v/>
      </c>
      <c r="E692" s="210" t="str">
        <f t="shared" si="21"/>
        <v/>
      </c>
      <c r="F692" s="210"/>
      <c r="G692" s="210"/>
      <c r="H692" s="210"/>
      <c r="I692" s="210"/>
      <c r="J692" s="210"/>
      <c r="K692" s="210"/>
      <c r="L692" s="210"/>
      <c r="M692" s="210"/>
      <c r="N692" s="210"/>
      <c r="O692" s="196"/>
    </row>
    <row r="693" spans="1:15" s="212" customFormat="1" ht="15.75">
      <c r="A693" s="209" t="str">
        <f ca="1">IF(ISNA(VLOOKUP(D693,'Standard Smelter Names'!$B$3:$E$165,4,FALSE)),"",VLOOKUP(D693,'Standard Smelter Names'!$B$3:$E$165,4,FALSE))</f>
        <v/>
      </c>
      <c r="B693" s="210"/>
      <c r="C693" s="211"/>
      <c r="D693" s="211" t="str">
        <f t="shared" si="20"/>
        <v/>
      </c>
      <c r="E693" s="210" t="str">
        <f t="shared" si="21"/>
        <v/>
      </c>
      <c r="F693" s="210"/>
      <c r="G693" s="210"/>
      <c r="H693" s="210"/>
      <c r="I693" s="210"/>
      <c r="J693" s="210"/>
      <c r="K693" s="210"/>
      <c r="L693" s="210"/>
      <c r="M693" s="210"/>
      <c r="N693" s="210"/>
      <c r="O693" s="196"/>
    </row>
    <row r="694" spans="1:15" s="212" customFormat="1" ht="15.75">
      <c r="A694" s="209" t="str">
        <f ca="1">IF(ISNA(VLOOKUP(D694,'Standard Smelter Names'!$B$3:$E$165,4,FALSE)),"",VLOOKUP(D694,'Standard Smelter Names'!$B$3:$E$165,4,FALSE))</f>
        <v/>
      </c>
      <c r="B694" s="210"/>
      <c r="C694" s="211"/>
      <c r="D694" s="211" t="str">
        <f t="shared" si="20"/>
        <v/>
      </c>
      <c r="E694" s="210" t="str">
        <f t="shared" si="21"/>
        <v/>
      </c>
      <c r="F694" s="210"/>
      <c r="G694" s="210"/>
      <c r="H694" s="210"/>
      <c r="I694" s="210"/>
      <c r="J694" s="210"/>
      <c r="K694" s="210"/>
      <c r="L694" s="210"/>
      <c r="M694" s="210"/>
      <c r="N694" s="210"/>
      <c r="O694" s="196"/>
    </row>
    <row r="695" spans="1:15" s="212" customFormat="1" ht="15.75">
      <c r="A695" s="209" t="str">
        <f ca="1">IF(ISNA(VLOOKUP(D695,'Standard Smelter Names'!$B$3:$E$165,4,FALSE)),"",VLOOKUP(D695,'Standard Smelter Names'!$B$3:$E$165,4,FALSE))</f>
        <v/>
      </c>
      <c r="B695" s="210"/>
      <c r="C695" s="211"/>
      <c r="D695" s="211" t="str">
        <f t="shared" si="20"/>
        <v/>
      </c>
      <c r="E695" s="210" t="str">
        <f t="shared" si="21"/>
        <v/>
      </c>
      <c r="F695" s="210"/>
      <c r="G695" s="210"/>
      <c r="H695" s="210"/>
      <c r="I695" s="210"/>
      <c r="J695" s="210"/>
      <c r="K695" s="210"/>
      <c r="L695" s="210"/>
      <c r="M695" s="210"/>
      <c r="N695" s="210"/>
      <c r="O695" s="196"/>
    </row>
    <row r="696" spans="1:15" s="212" customFormat="1" ht="15.75">
      <c r="A696" s="209" t="str">
        <f ca="1">IF(ISNA(VLOOKUP(D696,'Standard Smelter Names'!$B$3:$E$165,4,FALSE)),"",VLOOKUP(D696,'Standard Smelter Names'!$B$3:$E$165,4,FALSE))</f>
        <v/>
      </c>
      <c r="B696" s="210"/>
      <c r="C696" s="211"/>
      <c r="D696" s="211" t="str">
        <f t="shared" si="20"/>
        <v/>
      </c>
      <c r="E696" s="210" t="str">
        <f t="shared" si="21"/>
        <v/>
      </c>
      <c r="F696" s="210"/>
      <c r="G696" s="210"/>
      <c r="H696" s="210"/>
      <c r="I696" s="210"/>
      <c r="J696" s="210"/>
      <c r="K696" s="210"/>
      <c r="L696" s="210"/>
      <c r="M696" s="210"/>
      <c r="N696" s="210"/>
      <c r="O696" s="196"/>
    </row>
    <row r="697" spans="1:15" s="212" customFormat="1" ht="15.75">
      <c r="A697" s="209" t="str">
        <f ca="1">IF(ISNA(VLOOKUP(D697,'Standard Smelter Names'!$B$3:$E$165,4,FALSE)),"",VLOOKUP(D697,'Standard Smelter Names'!$B$3:$E$165,4,FALSE))</f>
        <v/>
      </c>
      <c r="B697" s="210"/>
      <c r="C697" s="211"/>
      <c r="D697" s="211" t="str">
        <f t="shared" si="20"/>
        <v/>
      </c>
      <c r="E697" s="210" t="str">
        <f t="shared" si="21"/>
        <v/>
      </c>
      <c r="F697" s="210"/>
      <c r="G697" s="210"/>
      <c r="H697" s="210"/>
      <c r="I697" s="210"/>
      <c r="J697" s="210"/>
      <c r="K697" s="210"/>
      <c r="L697" s="210"/>
      <c r="M697" s="210"/>
      <c r="N697" s="210"/>
      <c r="O697" s="196"/>
    </row>
    <row r="698" spans="1:15" s="212" customFormat="1" ht="15.75">
      <c r="A698" s="209" t="str">
        <f ca="1">IF(ISNA(VLOOKUP(D698,'Standard Smelter Names'!$B$3:$E$165,4,FALSE)),"",VLOOKUP(D698,'Standard Smelter Names'!$B$3:$E$165,4,FALSE))</f>
        <v/>
      </c>
      <c r="B698" s="210"/>
      <c r="C698" s="211"/>
      <c r="D698" s="211" t="str">
        <f t="shared" si="20"/>
        <v/>
      </c>
      <c r="E698" s="210" t="str">
        <f t="shared" si="21"/>
        <v/>
      </c>
      <c r="F698" s="210"/>
      <c r="G698" s="210"/>
      <c r="H698" s="210"/>
      <c r="I698" s="210"/>
      <c r="J698" s="210"/>
      <c r="K698" s="210"/>
      <c r="L698" s="210"/>
      <c r="M698" s="210"/>
      <c r="N698" s="210"/>
      <c r="O698" s="196"/>
    </row>
    <row r="699" spans="1:15" s="212" customFormat="1" ht="15.75">
      <c r="A699" s="209" t="str">
        <f ca="1">IF(ISNA(VLOOKUP(D699,'Standard Smelter Names'!$B$3:$E$165,4,FALSE)),"",VLOOKUP(D699,'Standard Smelter Names'!$B$3:$E$165,4,FALSE))</f>
        <v/>
      </c>
      <c r="B699" s="210"/>
      <c r="C699" s="211"/>
      <c r="D699" s="211" t="str">
        <f t="shared" si="20"/>
        <v/>
      </c>
      <c r="E699" s="210" t="str">
        <f t="shared" si="21"/>
        <v/>
      </c>
      <c r="F699" s="210"/>
      <c r="G699" s="210"/>
      <c r="H699" s="210"/>
      <c r="I699" s="210"/>
      <c r="J699" s="210"/>
      <c r="K699" s="210"/>
      <c r="L699" s="210"/>
      <c r="M699" s="210"/>
      <c r="N699" s="210"/>
      <c r="O699" s="196"/>
    </row>
    <row r="700" spans="1:15" s="212" customFormat="1" ht="15.75">
      <c r="A700" s="209" t="str">
        <f ca="1">IF(ISNA(VLOOKUP(D700,'Standard Smelter Names'!$B$3:$E$165,4,FALSE)),"",VLOOKUP(D700,'Standard Smelter Names'!$B$3:$E$165,4,FALSE))</f>
        <v/>
      </c>
      <c r="B700" s="210"/>
      <c r="C700" s="211"/>
      <c r="D700" s="211" t="str">
        <f t="shared" si="20"/>
        <v/>
      </c>
      <c r="E700" s="210" t="str">
        <f t="shared" si="21"/>
        <v/>
      </c>
      <c r="F700" s="210"/>
      <c r="G700" s="210"/>
      <c r="H700" s="210"/>
      <c r="I700" s="210"/>
      <c r="J700" s="210"/>
      <c r="K700" s="210"/>
      <c r="L700" s="210"/>
      <c r="M700" s="210"/>
      <c r="N700" s="210"/>
      <c r="O700" s="196"/>
    </row>
    <row r="701" spans="1:15" s="212" customFormat="1" ht="15.75">
      <c r="A701" s="209" t="str">
        <f ca="1">IF(ISNA(VLOOKUP(D701,'Standard Smelter Names'!$B$3:$E$165,4,FALSE)),"",VLOOKUP(D701,'Standard Smelter Names'!$B$3:$E$165,4,FALSE))</f>
        <v/>
      </c>
      <c r="B701" s="210"/>
      <c r="C701" s="211"/>
      <c r="D701" s="211" t="str">
        <f t="shared" si="20"/>
        <v/>
      </c>
      <c r="E701" s="210" t="str">
        <f t="shared" si="21"/>
        <v/>
      </c>
      <c r="F701" s="210"/>
      <c r="G701" s="210"/>
      <c r="H701" s="210"/>
      <c r="I701" s="210"/>
      <c r="J701" s="210"/>
      <c r="K701" s="210"/>
      <c r="L701" s="210"/>
      <c r="M701" s="210"/>
      <c r="N701" s="210"/>
      <c r="O701" s="196"/>
    </row>
    <row r="702" spans="1:15" s="212" customFormat="1" ht="15.75">
      <c r="A702" s="209" t="str">
        <f ca="1">IF(ISNA(VLOOKUP(D702,'Standard Smelter Names'!$B$3:$E$165,4,FALSE)),"",VLOOKUP(D702,'Standard Smelter Names'!$B$3:$E$165,4,FALSE))</f>
        <v/>
      </c>
      <c r="B702" s="210"/>
      <c r="C702" s="211"/>
      <c r="D702" s="211" t="str">
        <f t="shared" si="20"/>
        <v/>
      </c>
      <c r="E702" s="210" t="str">
        <f t="shared" si="21"/>
        <v/>
      </c>
      <c r="F702" s="210"/>
      <c r="G702" s="210"/>
      <c r="H702" s="210"/>
      <c r="I702" s="210"/>
      <c r="J702" s="210"/>
      <c r="K702" s="210"/>
      <c r="L702" s="210"/>
      <c r="M702" s="210"/>
      <c r="N702" s="210"/>
      <c r="O702" s="196"/>
    </row>
    <row r="703" spans="1:15" s="212" customFormat="1" ht="15.75">
      <c r="A703" s="209" t="str">
        <f ca="1">IF(ISNA(VLOOKUP(D703,'Standard Smelter Names'!$B$3:$E$165,4,FALSE)),"",VLOOKUP(D703,'Standard Smelter Names'!$B$3:$E$165,4,FALSE))</f>
        <v/>
      </c>
      <c r="B703" s="210"/>
      <c r="C703" s="211"/>
      <c r="D703" s="211" t="str">
        <f t="shared" si="20"/>
        <v/>
      </c>
      <c r="E703" s="210" t="str">
        <f t="shared" si="21"/>
        <v/>
      </c>
      <c r="F703" s="210"/>
      <c r="G703" s="210"/>
      <c r="H703" s="210"/>
      <c r="I703" s="210"/>
      <c r="J703" s="210"/>
      <c r="K703" s="210"/>
      <c r="L703" s="210"/>
      <c r="M703" s="210"/>
      <c r="N703" s="210"/>
      <c r="O703" s="196"/>
    </row>
    <row r="704" spans="1:15" s="212" customFormat="1" ht="15.75">
      <c r="A704" s="209" t="str">
        <f ca="1">IF(ISNA(VLOOKUP(D704,'Standard Smelter Names'!$B$3:$E$165,4,FALSE)),"",VLOOKUP(D704,'Standard Smelter Names'!$B$3:$E$165,4,FALSE))</f>
        <v/>
      </c>
      <c r="B704" s="210"/>
      <c r="C704" s="211"/>
      <c r="D704" s="211" t="str">
        <f t="shared" si="20"/>
        <v/>
      </c>
      <c r="E704" s="210" t="str">
        <f t="shared" si="21"/>
        <v/>
      </c>
      <c r="F704" s="210"/>
      <c r="G704" s="210"/>
      <c r="H704" s="210"/>
      <c r="I704" s="210"/>
      <c r="J704" s="210"/>
      <c r="K704" s="210"/>
      <c r="L704" s="210"/>
      <c r="M704" s="210"/>
      <c r="N704" s="210"/>
      <c r="O704" s="196"/>
    </row>
    <row r="705" spans="1:15" s="212" customFormat="1" ht="15.75">
      <c r="A705" s="209" t="str">
        <f ca="1">IF(ISNA(VLOOKUP(D705,'Standard Smelter Names'!$B$3:$E$165,4,FALSE)),"",VLOOKUP(D705,'Standard Smelter Names'!$B$3:$E$165,4,FALSE))</f>
        <v/>
      </c>
      <c r="B705" s="210"/>
      <c r="C705" s="211"/>
      <c r="D705" s="211" t="str">
        <f t="shared" si="20"/>
        <v/>
      </c>
      <c r="E705" s="210" t="str">
        <f t="shared" si="21"/>
        <v/>
      </c>
      <c r="F705" s="210"/>
      <c r="G705" s="210"/>
      <c r="H705" s="210"/>
      <c r="I705" s="210"/>
      <c r="J705" s="210"/>
      <c r="K705" s="210"/>
      <c r="L705" s="210"/>
      <c r="M705" s="210"/>
      <c r="N705" s="210"/>
      <c r="O705" s="196"/>
    </row>
    <row r="706" spans="1:15" s="212" customFormat="1" ht="15.75">
      <c r="A706" s="209" t="str">
        <f ca="1">IF(ISNA(VLOOKUP(D706,'Standard Smelter Names'!$B$3:$E$165,4,FALSE)),"",VLOOKUP(D706,'Standard Smelter Names'!$B$3:$E$165,4,FALSE))</f>
        <v/>
      </c>
      <c r="B706" s="210"/>
      <c r="C706" s="211"/>
      <c r="D706" s="211" t="str">
        <f t="shared" si="20"/>
        <v/>
      </c>
      <c r="E706" s="210" t="str">
        <f t="shared" si="21"/>
        <v/>
      </c>
      <c r="F706" s="210"/>
      <c r="G706" s="210"/>
      <c r="H706" s="210"/>
      <c r="I706" s="210"/>
      <c r="J706" s="210"/>
      <c r="K706" s="210"/>
      <c r="L706" s="210"/>
      <c r="M706" s="210"/>
      <c r="N706" s="210"/>
      <c r="O706" s="196"/>
    </row>
    <row r="707" spans="1:15" s="212" customFormat="1" ht="15.75">
      <c r="A707" s="209" t="str">
        <f ca="1">IF(ISNA(VLOOKUP(D707,'Standard Smelter Names'!$B$3:$E$165,4,FALSE)),"",VLOOKUP(D707,'Standard Smelter Names'!$B$3:$E$165,4,FALSE))</f>
        <v/>
      </c>
      <c r="B707" s="210"/>
      <c r="C707" s="211"/>
      <c r="D707" s="211" t="str">
        <f t="shared" si="20"/>
        <v/>
      </c>
      <c r="E707" s="210" t="str">
        <f t="shared" si="21"/>
        <v/>
      </c>
      <c r="F707" s="210"/>
      <c r="G707" s="210"/>
      <c r="H707" s="210"/>
      <c r="I707" s="210"/>
      <c r="J707" s="210"/>
      <c r="K707" s="210"/>
      <c r="L707" s="210"/>
      <c r="M707" s="210"/>
      <c r="N707" s="210"/>
      <c r="O707" s="196"/>
    </row>
    <row r="708" spans="1:15" s="212" customFormat="1" ht="15.75">
      <c r="A708" s="209" t="str">
        <f ca="1">IF(ISNA(VLOOKUP(D708,'Standard Smelter Names'!$B$3:$E$165,4,FALSE)),"",VLOOKUP(D708,'Standard Smelter Names'!$B$3:$E$165,4,FALSE))</f>
        <v/>
      </c>
      <c r="B708" s="210"/>
      <c r="C708" s="211"/>
      <c r="D708" s="211" t="str">
        <f t="shared" si="20"/>
        <v/>
      </c>
      <c r="E708" s="210" t="str">
        <f t="shared" si="21"/>
        <v/>
      </c>
      <c r="F708" s="210"/>
      <c r="G708" s="210"/>
      <c r="H708" s="210"/>
      <c r="I708" s="210"/>
      <c r="J708" s="210"/>
      <c r="K708" s="210"/>
      <c r="L708" s="210"/>
      <c r="M708" s="210"/>
      <c r="N708" s="210"/>
      <c r="O708" s="196"/>
    </row>
    <row r="709" spans="1:15" s="212" customFormat="1" ht="15.75">
      <c r="A709" s="209" t="str">
        <f ca="1">IF(ISNA(VLOOKUP(D709,'Standard Smelter Names'!$B$3:$E$165,4,FALSE)),"",VLOOKUP(D709,'Standard Smelter Names'!$B$3:$E$165,4,FALSE))</f>
        <v/>
      </c>
      <c r="B709" s="210"/>
      <c r="C709" s="211"/>
      <c r="D709" s="211" t="str">
        <f t="shared" ref="D709:D772" si="22">IF(ISNA(VLOOKUP(C709,$G$1023:$I$1379,3,FALSE)),"",VLOOKUP(C709,$G$1023:$I$1379,3,FALSE))</f>
        <v/>
      </c>
      <c r="E709" s="210" t="str">
        <f t="shared" ref="E709:E772" si="23">IF(ISNA(VLOOKUP(C709,$G$1023:$I$1379,2,FALSE)),"",VLOOKUP(C709,$G$1023:$I$1379,2,FALSE))</f>
        <v/>
      </c>
      <c r="F709" s="210"/>
      <c r="G709" s="210"/>
      <c r="H709" s="210"/>
      <c r="I709" s="210"/>
      <c r="J709" s="210"/>
      <c r="K709" s="210"/>
      <c r="L709" s="210"/>
      <c r="M709" s="210"/>
      <c r="N709" s="210"/>
      <c r="O709" s="196"/>
    </row>
    <row r="710" spans="1:15" s="212" customFormat="1" ht="15.75">
      <c r="A710" s="209" t="str">
        <f ca="1">IF(ISNA(VLOOKUP(D710,'Standard Smelter Names'!$B$3:$E$165,4,FALSE)),"",VLOOKUP(D710,'Standard Smelter Names'!$B$3:$E$165,4,FALSE))</f>
        <v/>
      </c>
      <c r="B710" s="210"/>
      <c r="C710" s="211"/>
      <c r="D710" s="211" t="str">
        <f t="shared" si="22"/>
        <v/>
      </c>
      <c r="E710" s="210" t="str">
        <f t="shared" si="23"/>
        <v/>
      </c>
      <c r="F710" s="210"/>
      <c r="G710" s="210"/>
      <c r="H710" s="210"/>
      <c r="I710" s="210"/>
      <c r="J710" s="210"/>
      <c r="K710" s="210"/>
      <c r="L710" s="210"/>
      <c r="M710" s="210"/>
      <c r="N710" s="210"/>
      <c r="O710" s="196"/>
    </row>
    <row r="711" spans="1:15" s="212" customFormat="1" ht="15.75">
      <c r="A711" s="209" t="str">
        <f ca="1">IF(ISNA(VLOOKUP(D711,'Standard Smelter Names'!$B$3:$E$165,4,FALSE)),"",VLOOKUP(D711,'Standard Smelter Names'!$B$3:$E$165,4,FALSE))</f>
        <v/>
      </c>
      <c r="B711" s="210"/>
      <c r="C711" s="211"/>
      <c r="D711" s="211" t="str">
        <f t="shared" si="22"/>
        <v/>
      </c>
      <c r="E711" s="210" t="str">
        <f t="shared" si="23"/>
        <v/>
      </c>
      <c r="F711" s="210"/>
      <c r="G711" s="210"/>
      <c r="H711" s="210"/>
      <c r="I711" s="210"/>
      <c r="J711" s="210"/>
      <c r="K711" s="210"/>
      <c r="L711" s="210"/>
      <c r="M711" s="210"/>
      <c r="N711" s="210"/>
      <c r="O711" s="196"/>
    </row>
    <row r="712" spans="1:15" s="212" customFormat="1" ht="15.75">
      <c r="A712" s="209" t="str">
        <f ca="1">IF(ISNA(VLOOKUP(D712,'Standard Smelter Names'!$B$3:$E$165,4,FALSE)),"",VLOOKUP(D712,'Standard Smelter Names'!$B$3:$E$165,4,FALSE))</f>
        <v/>
      </c>
      <c r="B712" s="210"/>
      <c r="C712" s="211"/>
      <c r="D712" s="211" t="str">
        <f t="shared" si="22"/>
        <v/>
      </c>
      <c r="E712" s="210" t="str">
        <f t="shared" si="23"/>
        <v/>
      </c>
      <c r="F712" s="210"/>
      <c r="G712" s="210"/>
      <c r="H712" s="210"/>
      <c r="I712" s="210"/>
      <c r="J712" s="210"/>
      <c r="K712" s="210"/>
      <c r="L712" s="210"/>
      <c r="M712" s="210"/>
      <c r="N712" s="210"/>
      <c r="O712" s="196"/>
    </row>
    <row r="713" spans="1:15" s="212" customFormat="1" ht="15.75">
      <c r="A713" s="209" t="str">
        <f ca="1">IF(ISNA(VLOOKUP(D713,'Standard Smelter Names'!$B$3:$E$165,4,FALSE)),"",VLOOKUP(D713,'Standard Smelter Names'!$B$3:$E$165,4,FALSE))</f>
        <v/>
      </c>
      <c r="B713" s="210"/>
      <c r="C713" s="211"/>
      <c r="D713" s="211" t="str">
        <f t="shared" si="22"/>
        <v/>
      </c>
      <c r="E713" s="210" t="str">
        <f t="shared" si="23"/>
        <v/>
      </c>
      <c r="F713" s="210"/>
      <c r="G713" s="210"/>
      <c r="H713" s="210"/>
      <c r="I713" s="210"/>
      <c r="J713" s="210"/>
      <c r="K713" s="210"/>
      <c r="L713" s="210"/>
      <c r="M713" s="210"/>
      <c r="N713" s="210"/>
      <c r="O713" s="196"/>
    </row>
    <row r="714" spans="1:15" s="212" customFormat="1" ht="15.75">
      <c r="A714" s="209" t="str">
        <f ca="1">IF(ISNA(VLOOKUP(D714,'Standard Smelter Names'!$B$3:$E$165,4,FALSE)),"",VLOOKUP(D714,'Standard Smelter Names'!$B$3:$E$165,4,FALSE))</f>
        <v/>
      </c>
      <c r="B714" s="210"/>
      <c r="C714" s="211"/>
      <c r="D714" s="211" t="str">
        <f t="shared" si="22"/>
        <v/>
      </c>
      <c r="E714" s="210" t="str">
        <f t="shared" si="23"/>
        <v/>
      </c>
      <c r="F714" s="210"/>
      <c r="G714" s="210"/>
      <c r="H714" s="210"/>
      <c r="I714" s="210"/>
      <c r="J714" s="210"/>
      <c r="K714" s="210"/>
      <c r="L714" s="210"/>
      <c r="M714" s="210"/>
      <c r="N714" s="210"/>
      <c r="O714" s="196"/>
    </row>
    <row r="715" spans="1:15" s="212" customFormat="1" ht="15.75">
      <c r="A715" s="209" t="str">
        <f ca="1">IF(ISNA(VLOOKUP(D715,'Standard Smelter Names'!$B$3:$E$165,4,FALSE)),"",VLOOKUP(D715,'Standard Smelter Names'!$B$3:$E$165,4,FALSE))</f>
        <v/>
      </c>
      <c r="B715" s="210"/>
      <c r="C715" s="211"/>
      <c r="D715" s="211" t="str">
        <f t="shared" si="22"/>
        <v/>
      </c>
      <c r="E715" s="210" t="str">
        <f t="shared" si="23"/>
        <v/>
      </c>
      <c r="F715" s="210"/>
      <c r="G715" s="210"/>
      <c r="H715" s="210"/>
      <c r="I715" s="210"/>
      <c r="J715" s="210"/>
      <c r="K715" s="210"/>
      <c r="L715" s="210"/>
      <c r="M715" s="210"/>
      <c r="N715" s="210"/>
      <c r="O715" s="196"/>
    </row>
    <row r="716" spans="1:15" s="212" customFormat="1" ht="15.75">
      <c r="A716" s="209" t="str">
        <f ca="1">IF(ISNA(VLOOKUP(D716,'Standard Smelter Names'!$B$3:$E$165,4,FALSE)),"",VLOOKUP(D716,'Standard Smelter Names'!$B$3:$E$165,4,FALSE))</f>
        <v/>
      </c>
      <c r="B716" s="210"/>
      <c r="C716" s="211"/>
      <c r="D716" s="211" t="str">
        <f t="shared" si="22"/>
        <v/>
      </c>
      <c r="E716" s="210" t="str">
        <f t="shared" si="23"/>
        <v/>
      </c>
      <c r="F716" s="210"/>
      <c r="G716" s="210"/>
      <c r="H716" s="210"/>
      <c r="I716" s="210"/>
      <c r="J716" s="210"/>
      <c r="K716" s="210"/>
      <c r="L716" s="210"/>
      <c r="M716" s="210"/>
      <c r="N716" s="210"/>
      <c r="O716" s="196"/>
    </row>
    <row r="717" spans="1:15" s="212" customFormat="1" ht="15.75">
      <c r="A717" s="209" t="str">
        <f ca="1">IF(ISNA(VLOOKUP(D717,'Standard Smelter Names'!$B$3:$E$165,4,FALSE)),"",VLOOKUP(D717,'Standard Smelter Names'!$B$3:$E$165,4,FALSE))</f>
        <v/>
      </c>
      <c r="B717" s="210"/>
      <c r="C717" s="211"/>
      <c r="D717" s="211" t="str">
        <f t="shared" si="22"/>
        <v/>
      </c>
      <c r="E717" s="210" t="str">
        <f t="shared" si="23"/>
        <v/>
      </c>
      <c r="F717" s="210"/>
      <c r="G717" s="210"/>
      <c r="H717" s="210"/>
      <c r="I717" s="210"/>
      <c r="J717" s="210"/>
      <c r="K717" s="210"/>
      <c r="L717" s="210"/>
      <c r="M717" s="210"/>
      <c r="N717" s="210"/>
      <c r="O717" s="196"/>
    </row>
    <row r="718" spans="1:15" s="212" customFormat="1" ht="15.75">
      <c r="A718" s="209" t="str">
        <f ca="1">IF(ISNA(VLOOKUP(D718,'Standard Smelter Names'!$B$3:$E$165,4,FALSE)),"",VLOOKUP(D718,'Standard Smelter Names'!$B$3:$E$165,4,FALSE))</f>
        <v/>
      </c>
      <c r="B718" s="210"/>
      <c r="C718" s="211"/>
      <c r="D718" s="211" t="str">
        <f t="shared" si="22"/>
        <v/>
      </c>
      <c r="E718" s="210" t="str">
        <f t="shared" si="23"/>
        <v/>
      </c>
      <c r="F718" s="210"/>
      <c r="G718" s="210"/>
      <c r="H718" s="210"/>
      <c r="I718" s="210"/>
      <c r="J718" s="210"/>
      <c r="K718" s="210"/>
      <c r="L718" s="210"/>
      <c r="M718" s="210"/>
      <c r="N718" s="210"/>
      <c r="O718" s="196"/>
    </row>
    <row r="719" spans="1:15" s="212" customFormat="1" ht="15.75">
      <c r="A719" s="209" t="str">
        <f ca="1">IF(ISNA(VLOOKUP(D719,'Standard Smelter Names'!$B$3:$E$165,4,FALSE)),"",VLOOKUP(D719,'Standard Smelter Names'!$B$3:$E$165,4,FALSE))</f>
        <v/>
      </c>
      <c r="B719" s="210"/>
      <c r="C719" s="211"/>
      <c r="D719" s="211" t="str">
        <f t="shared" si="22"/>
        <v/>
      </c>
      <c r="E719" s="210" t="str">
        <f t="shared" si="23"/>
        <v/>
      </c>
      <c r="F719" s="210"/>
      <c r="G719" s="210"/>
      <c r="H719" s="210"/>
      <c r="I719" s="210"/>
      <c r="J719" s="210"/>
      <c r="K719" s="210"/>
      <c r="L719" s="210"/>
      <c r="M719" s="210"/>
      <c r="N719" s="210"/>
      <c r="O719" s="196"/>
    </row>
    <row r="720" spans="1:15" s="212" customFormat="1" ht="15.75">
      <c r="A720" s="209" t="str">
        <f ca="1">IF(ISNA(VLOOKUP(D720,'Standard Smelter Names'!$B$3:$E$165,4,FALSE)),"",VLOOKUP(D720,'Standard Smelter Names'!$B$3:$E$165,4,FALSE))</f>
        <v/>
      </c>
      <c r="B720" s="210"/>
      <c r="C720" s="211"/>
      <c r="D720" s="211" t="str">
        <f t="shared" si="22"/>
        <v/>
      </c>
      <c r="E720" s="210" t="str">
        <f t="shared" si="23"/>
        <v/>
      </c>
      <c r="F720" s="210"/>
      <c r="G720" s="210"/>
      <c r="H720" s="210"/>
      <c r="I720" s="210"/>
      <c r="J720" s="210"/>
      <c r="K720" s="210"/>
      <c r="L720" s="210"/>
      <c r="M720" s="210"/>
      <c r="N720" s="210"/>
      <c r="O720" s="196"/>
    </row>
    <row r="721" spans="1:15" s="212" customFormat="1" ht="15.75">
      <c r="A721" s="209" t="str">
        <f ca="1">IF(ISNA(VLOOKUP(D721,'Standard Smelter Names'!$B$3:$E$165,4,FALSE)),"",VLOOKUP(D721,'Standard Smelter Names'!$B$3:$E$165,4,FALSE))</f>
        <v/>
      </c>
      <c r="B721" s="210"/>
      <c r="C721" s="211"/>
      <c r="D721" s="211" t="str">
        <f t="shared" si="22"/>
        <v/>
      </c>
      <c r="E721" s="210" t="str">
        <f t="shared" si="23"/>
        <v/>
      </c>
      <c r="F721" s="210"/>
      <c r="G721" s="210"/>
      <c r="H721" s="210"/>
      <c r="I721" s="210"/>
      <c r="J721" s="210"/>
      <c r="K721" s="210"/>
      <c r="L721" s="210"/>
      <c r="M721" s="210"/>
      <c r="N721" s="210"/>
      <c r="O721" s="196"/>
    </row>
    <row r="722" spans="1:15" s="212" customFormat="1" ht="15.75">
      <c r="A722" s="209" t="str">
        <f ca="1">IF(ISNA(VLOOKUP(D722,'Standard Smelter Names'!$B$3:$E$165,4,FALSE)),"",VLOOKUP(D722,'Standard Smelter Names'!$B$3:$E$165,4,FALSE))</f>
        <v/>
      </c>
      <c r="B722" s="210"/>
      <c r="C722" s="211"/>
      <c r="D722" s="211" t="str">
        <f t="shared" si="22"/>
        <v/>
      </c>
      <c r="E722" s="210" t="str">
        <f t="shared" si="23"/>
        <v/>
      </c>
      <c r="F722" s="210"/>
      <c r="G722" s="210"/>
      <c r="H722" s="210"/>
      <c r="I722" s="210"/>
      <c r="J722" s="210"/>
      <c r="K722" s="210"/>
      <c r="L722" s="210"/>
      <c r="M722" s="210"/>
      <c r="N722" s="210"/>
      <c r="O722" s="196"/>
    </row>
    <row r="723" spans="1:15" s="212" customFormat="1" ht="15.75">
      <c r="A723" s="209" t="str">
        <f ca="1">IF(ISNA(VLOOKUP(D723,'Standard Smelter Names'!$B$3:$E$165,4,FALSE)),"",VLOOKUP(D723,'Standard Smelter Names'!$B$3:$E$165,4,FALSE))</f>
        <v/>
      </c>
      <c r="B723" s="210"/>
      <c r="C723" s="211"/>
      <c r="D723" s="211" t="str">
        <f t="shared" si="22"/>
        <v/>
      </c>
      <c r="E723" s="210" t="str">
        <f t="shared" si="23"/>
        <v/>
      </c>
      <c r="F723" s="210"/>
      <c r="G723" s="210"/>
      <c r="H723" s="210"/>
      <c r="I723" s="210"/>
      <c r="J723" s="210"/>
      <c r="K723" s="210"/>
      <c r="L723" s="210"/>
      <c r="M723" s="210"/>
      <c r="N723" s="210"/>
      <c r="O723" s="196"/>
    </row>
    <row r="724" spans="1:15" s="212" customFormat="1" ht="15.75">
      <c r="A724" s="209" t="str">
        <f ca="1">IF(ISNA(VLOOKUP(D724,'Standard Smelter Names'!$B$3:$E$165,4,FALSE)),"",VLOOKUP(D724,'Standard Smelter Names'!$B$3:$E$165,4,FALSE))</f>
        <v/>
      </c>
      <c r="B724" s="210"/>
      <c r="C724" s="211"/>
      <c r="D724" s="211" t="str">
        <f t="shared" si="22"/>
        <v/>
      </c>
      <c r="E724" s="210" t="str">
        <f t="shared" si="23"/>
        <v/>
      </c>
      <c r="F724" s="210"/>
      <c r="G724" s="210"/>
      <c r="H724" s="210"/>
      <c r="I724" s="210"/>
      <c r="J724" s="210"/>
      <c r="K724" s="210"/>
      <c r="L724" s="210"/>
      <c r="M724" s="210"/>
      <c r="N724" s="210"/>
      <c r="O724" s="196"/>
    </row>
    <row r="725" spans="1:15" s="212" customFormat="1" ht="15.75">
      <c r="A725" s="209" t="str">
        <f ca="1">IF(ISNA(VLOOKUP(D725,'Standard Smelter Names'!$B$3:$E$165,4,FALSE)),"",VLOOKUP(D725,'Standard Smelter Names'!$B$3:$E$165,4,FALSE))</f>
        <v/>
      </c>
      <c r="B725" s="210"/>
      <c r="C725" s="211"/>
      <c r="D725" s="211" t="str">
        <f t="shared" si="22"/>
        <v/>
      </c>
      <c r="E725" s="210" t="str">
        <f t="shared" si="23"/>
        <v/>
      </c>
      <c r="F725" s="210"/>
      <c r="G725" s="210"/>
      <c r="H725" s="210"/>
      <c r="I725" s="210"/>
      <c r="J725" s="210"/>
      <c r="K725" s="210"/>
      <c r="L725" s="210"/>
      <c r="M725" s="210"/>
      <c r="N725" s="210"/>
      <c r="O725" s="196"/>
    </row>
    <row r="726" spans="1:15" s="212" customFormat="1" ht="15.75">
      <c r="A726" s="209" t="str">
        <f ca="1">IF(ISNA(VLOOKUP(D726,'Standard Smelter Names'!$B$3:$E$165,4,FALSE)),"",VLOOKUP(D726,'Standard Smelter Names'!$B$3:$E$165,4,FALSE))</f>
        <v/>
      </c>
      <c r="B726" s="210"/>
      <c r="C726" s="211"/>
      <c r="D726" s="211" t="str">
        <f t="shared" si="22"/>
        <v/>
      </c>
      <c r="E726" s="210" t="str">
        <f t="shared" si="23"/>
        <v/>
      </c>
      <c r="F726" s="210"/>
      <c r="G726" s="210"/>
      <c r="H726" s="210"/>
      <c r="I726" s="210"/>
      <c r="J726" s="210"/>
      <c r="K726" s="210"/>
      <c r="L726" s="210"/>
      <c r="M726" s="210"/>
      <c r="N726" s="210"/>
      <c r="O726" s="196"/>
    </row>
    <row r="727" spans="1:15" s="212" customFormat="1" ht="15.75">
      <c r="A727" s="209" t="str">
        <f ca="1">IF(ISNA(VLOOKUP(D727,'Standard Smelter Names'!$B$3:$E$165,4,FALSE)),"",VLOOKUP(D727,'Standard Smelter Names'!$B$3:$E$165,4,FALSE))</f>
        <v/>
      </c>
      <c r="B727" s="210"/>
      <c r="C727" s="211"/>
      <c r="D727" s="211" t="str">
        <f t="shared" si="22"/>
        <v/>
      </c>
      <c r="E727" s="210" t="str">
        <f t="shared" si="23"/>
        <v/>
      </c>
      <c r="F727" s="210"/>
      <c r="G727" s="210"/>
      <c r="H727" s="210"/>
      <c r="I727" s="210"/>
      <c r="J727" s="210"/>
      <c r="K727" s="210"/>
      <c r="L727" s="210"/>
      <c r="M727" s="210"/>
      <c r="N727" s="210"/>
      <c r="O727" s="196"/>
    </row>
    <row r="728" spans="1:15" s="212" customFormat="1" ht="15.75">
      <c r="A728" s="209" t="str">
        <f ca="1">IF(ISNA(VLOOKUP(D728,'Standard Smelter Names'!$B$3:$E$165,4,FALSE)),"",VLOOKUP(D728,'Standard Smelter Names'!$B$3:$E$165,4,FALSE))</f>
        <v/>
      </c>
      <c r="B728" s="210"/>
      <c r="C728" s="211"/>
      <c r="D728" s="211" t="str">
        <f t="shared" si="22"/>
        <v/>
      </c>
      <c r="E728" s="210" t="str">
        <f t="shared" si="23"/>
        <v/>
      </c>
      <c r="F728" s="210"/>
      <c r="G728" s="210"/>
      <c r="H728" s="210"/>
      <c r="I728" s="210"/>
      <c r="J728" s="210"/>
      <c r="K728" s="210"/>
      <c r="L728" s="210"/>
      <c r="M728" s="210"/>
      <c r="N728" s="210"/>
      <c r="O728" s="196"/>
    </row>
    <row r="729" spans="1:15" s="212" customFormat="1" ht="15.75">
      <c r="A729" s="209" t="str">
        <f ca="1">IF(ISNA(VLOOKUP(D729,'Standard Smelter Names'!$B$3:$E$165,4,FALSE)),"",VLOOKUP(D729,'Standard Smelter Names'!$B$3:$E$165,4,FALSE))</f>
        <v/>
      </c>
      <c r="B729" s="210"/>
      <c r="C729" s="211"/>
      <c r="D729" s="211" t="str">
        <f t="shared" si="22"/>
        <v/>
      </c>
      <c r="E729" s="210" t="str">
        <f t="shared" si="23"/>
        <v/>
      </c>
      <c r="F729" s="210"/>
      <c r="G729" s="210"/>
      <c r="H729" s="210"/>
      <c r="I729" s="210"/>
      <c r="J729" s="210"/>
      <c r="K729" s="210"/>
      <c r="L729" s="210"/>
      <c r="M729" s="210"/>
      <c r="N729" s="210"/>
      <c r="O729" s="196"/>
    </row>
    <row r="730" spans="1:15" s="212" customFormat="1" ht="15.75">
      <c r="A730" s="209" t="str">
        <f ca="1">IF(ISNA(VLOOKUP(D730,'Standard Smelter Names'!$B$3:$E$165,4,FALSE)),"",VLOOKUP(D730,'Standard Smelter Names'!$B$3:$E$165,4,FALSE))</f>
        <v/>
      </c>
      <c r="B730" s="210"/>
      <c r="C730" s="211"/>
      <c r="D730" s="211" t="str">
        <f t="shared" si="22"/>
        <v/>
      </c>
      <c r="E730" s="210" t="str">
        <f t="shared" si="23"/>
        <v/>
      </c>
      <c r="F730" s="210"/>
      <c r="G730" s="210"/>
      <c r="H730" s="210"/>
      <c r="I730" s="210"/>
      <c r="J730" s="210"/>
      <c r="K730" s="210"/>
      <c r="L730" s="210"/>
      <c r="M730" s="210"/>
      <c r="N730" s="210"/>
      <c r="O730" s="196"/>
    </row>
    <row r="731" spans="1:15" s="212" customFormat="1" ht="15.75">
      <c r="A731" s="209" t="str">
        <f ca="1">IF(ISNA(VLOOKUP(D731,'Standard Smelter Names'!$B$3:$E$165,4,FALSE)),"",VLOOKUP(D731,'Standard Smelter Names'!$B$3:$E$165,4,FALSE))</f>
        <v/>
      </c>
      <c r="B731" s="210"/>
      <c r="C731" s="211"/>
      <c r="D731" s="211" t="str">
        <f t="shared" si="22"/>
        <v/>
      </c>
      <c r="E731" s="210" t="str">
        <f t="shared" si="23"/>
        <v/>
      </c>
      <c r="F731" s="210"/>
      <c r="G731" s="210"/>
      <c r="H731" s="210"/>
      <c r="I731" s="210"/>
      <c r="J731" s="210"/>
      <c r="K731" s="210"/>
      <c r="L731" s="210"/>
      <c r="M731" s="210"/>
      <c r="N731" s="210"/>
      <c r="O731" s="196"/>
    </row>
    <row r="732" spans="1:15" s="212" customFormat="1" ht="15.75">
      <c r="A732" s="209" t="str">
        <f ca="1">IF(ISNA(VLOOKUP(D732,'Standard Smelter Names'!$B$3:$E$165,4,FALSE)),"",VLOOKUP(D732,'Standard Smelter Names'!$B$3:$E$165,4,FALSE))</f>
        <v/>
      </c>
      <c r="B732" s="210"/>
      <c r="C732" s="211"/>
      <c r="D732" s="211" t="str">
        <f t="shared" si="22"/>
        <v/>
      </c>
      <c r="E732" s="210" t="str">
        <f t="shared" si="23"/>
        <v/>
      </c>
      <c r="F732" s="210"/>
      <c r="G732" s="210"/>
      <c r="H732" s="210"/>
      <c r="I732" s="210"/>
      <c r="J732" s="210"/>
      <c r="K732" s="210"/>
      <c r="L732" s="210"/>
      <c r="M732" s="210"/>
      <c r="N732" s="210"/>
      <c r="O732" s="196"/>
    </row>
    <row r="733" spans="1:15" s="212" customFormat="1" ht="15.75">
      <c r="A733" s="209" t="str">
        <f ca="1">IF(ISNA(VLOOKUP(D733,'Standard Smelter Names'!$B$3:$E$165,4,FALSE)),"",VLOOKUP(D733,'Standard Smelter Names'!$B$3:$E$165,4,FALSE))</f>
        <v/>
      </c>
      <c r="B733" s="210"/>
      <c r="C733" s="211"/>
      <c r="D733" s="211" t="str">
        <f t="shared" si="22"/>
        <v/>
      </c>
      <c r="E733" s="210" t="str">
        <f t="shared" si="23"/>
        <v/>
      </c>
      <c r="F733" s="210"/>
      <c r="G733" s="210"/>
      <c r="H733" s="210"/>
      <c r="I733" s="210"/>
      <c r="J733" s="210"/>
      <c r="K733" s="210"/>
      <c r="L733" s="210"/>
      <c r="M733" s="210"/>
      <c r="N733" s="210"/>
      <c r="O733" s="196"/>
    </row>
    <row r="734" spans="1:15" s="212" customFormat="1" ht="15.75">
      <c r="A734" s="209" t="str">
        <f ca="1">IF(ISNA(VLOOKUP(D734,'Standard Smelter Names'!$B$3:$E$165,4,FALSE)),"",VLOOKUP(D734,'Standard Smelter Names'!$B$3:$E$165,4,FALSE))</f>
        <v/>
      </c>
      <c r="B734" s="210"/>
      <c r="C734" s="211"/>
      <c r="D734" s="211" t="str">
        <f t="shared" si="22"/>
        <v/>
      </c>
      <c r="E734" s="210" t="str">
        <f t="shared" si="23"/>
        <v/>
      </c>
      <c r="F734" s="210"/>
      <c r="G734" s="210"/>
      <c r="H734" s="210"/>
      <c r="I734" s="210"/>
      <c r="J734" s="210"/>
      <c r="K734" s="210"/>
      <c r="L734" s="210"/>
      <c r="M734" s="210"/>
      <c r="N734" s="210"/>
      <c r="O734" s="196"/>
    </row>
    <row r="735" spans="1:15" s="212" customFormat="1" ht="15.75">
      <c r="A735" s="209" t="str">
        <f ca="1">IF(ISNA(VLOOKUP(D735,'Standard Smelter Names'!$B$3:$E$165,4,FALSE)),"",VLOOKUP(D735,'Standard Smelter Names'!$B$3:$E$165,4,FALSE))</f>
        <v/>
      </c>
      <c r="B735" s="210"/>
      <c r="C735" s="211"/>
      <c r="D735" s="211" t="str">
        <f t="shared" si="22"/>
        <v/>
      </c>
      <c r="E735" s="210" t="str">
        <f t="shared" si="23"/>
        <v/>
      </c>
      <c r="F735" s="210"/>
      <c r="G735" s="210"/>
      <c r="H735" s="210"/>
      <c r="I735" s="210"/>
      <c r="J735" s="210"/>
      <c r="K735" s="210"/>
      <c r="L735" s="210"/>
      <c r="M735" s="210"/>
      <c r="N735" s="210"/>
      <c r="O735" s="196"/>
    </row>
    <row r="736" spans="1:15" s="212" customFormat="1" ht="15.75">
      <c r="A736" s="209" t="str">
        <f ca="1">IF(ISNA(VLOOKUP(D736,'Standard Smelter Names'!$B$3:$E$165,4,FALSE)),"",VLOOKUP(D736,'Standard Smelter Names'!$B$3:$E$165,4,FALSE))</f>
        <v/>
      </c>
      <c r="B736" s="210"/>
      <c r="C736" s="211"/>
      <c r="D736" s="211" t="str">
        <f t="shared" si="22"/>
        <v/>
      </c>
      <c r="E736" s="210" t="str">
        <f t="shared" si="23"/>
        <v/>
      </c>
      <c r="F736" s="210"/>
      <c r="G736" s="210"/>
      <c r="H736" s="210"/>
      <c r="I736" s="210"/>
      <c r="J736" s="210"/>
      <c r="K736" s="210"/>
      <c r="L736" s="210"/>
      <c r="M736" s="210"/>
      <c r="N736" s="210"/>
      <c r="O736" s="196"/>
    </row>
    <row r="737" spans="1:15" s="212" customFormat="1" ht="15.75">
      <c r="A737" s="209" t="str">
        <f ca="1">IF(ISNA(VLOOKUP(D737,'Standard Smelter Names'!$B$3:$E$165,4,FALSE)),"",VLOOKUP(D737,'Standard Smelter Names'!$B$3:$E$165,4,FALSE))</f>
        <v/>
      </c>
      <c r="B737" s="210"/>
      <c r="C737" s="211"/>
      <c r="D737" s="211" t="str">
        <f t="shared" si="22"/>
        <v/>
      </c>
      <c r="E737" s="210" t="str">
        <f t="shared" si="23"/>
        <v/>
      </c>
      <c r="F737" s="210"/>
      <c r="G737" s="210"/>
      <c r="H737" s="210"/>
      <c r="I737" s="210"/>
      <c r="J737" s="210"/>
      <c r="K737" s="210"/>
      <c r="L737" s="210"/>
      <c r="M737" s="210"/>
      <c r="N737" s="210"/>
      <c r="O737" s="196"/>
    </row>
    <row r="738" spans="1:15" s="212" customFormat="1" ht="15.75">
      <c r="A738" s="209" t="str">
        <f ca="1">IF(ISNA(VLOOKUP(D738,'Standard Smelter Names'!$B$3:$E$165,4,FALSE)),"",VLOOKUP(D738,'Standard Smelter Names'!$B$3:$E$165,4,FALSE))</f>
        <v/>
      </c>
      <c r="B738" s="210"/>
      <c r="C738" s="211"/>
      <c r="D738" s="211" t="str">
        <f t="shared" si="22"/>
        <v/>
      </c>
      <c r="E738" s="210" t="str">
        <f t="shared" si="23"/>
        <v/>
      </c>
      <c r="F738" s="210"/>
      <c r="G738" s="210"/>
      <c r="H738" s="210"/>
      <c r="I738" s="210"/>
      <c r="J738" s="210"/>
      <c r="K738" s="210"/>
      <c r="L738" s="210"/>
      <c r="M738" s="210"/>
      <c r="N738" s="210"/>
      <c r="O738" s="196"/>
    </row>
    <row r="739" spans="1:15" s="212" customFormat="1" ht="15.75">
      <c r="A739" s="209" t="str">
        <f ca="1">IF(ISNA(VLOOKUP(D739,'Standard Smelter Names'!$B$3:$E$165,4,FALSE)),"",VLOOKUP(D739,'Standard Smelter Names'!$B$3:$E$165,4,FALSE))</f>
        <v/>
      </c>
      <c r="B739" s="210"/>
      <c r="C739" s="211"/>
      <c r="D739" s="211" t="str">
        <f t="shared" si="22"/>
        <v/>
      </c>
      <c r="E739" s="210" t="str">
        <f t="shared" si="23"/>
        <v/>
      </c>
      <c r="F739" s="210"/>
      <c r="G739" s="210"/>
      <c r="H739" s="210"/>
      <c r="I739" s="210"/>
      <c r="J739" s="210"/>
      <c r="K739" s="210"/>
      <c r="L739" s="210"/>
      <c r="M739" s="210"/>
      <c r="N739" s="210"/>
      <c r="O739" s="196"/>
    </row>
    <row r="740" spans="1:15" s="212" customFormat="1" ht="15.75">
      <c r="A740" s="209" t="str">
        <f ca="1">IF(ISNA(VLOOKUP(D740,'Standard Smelter Names'!$B$3:$E$165,4,FALSE)),"",VLOOKUP(D740,'Standard Smelter Names'!$B$3:$E$165,4,FALSE))</f>
        <v/>
      </c>
      <c r="B740" s="210"/>
      <c r="C740" s="211"/>
      <c r="D740" s="211" t="str">
        <f t="shared" si="22"/>
        <v/>
      </c>
      <c r="E740" s="210" t="str">
        <f t="shared" si="23"/>
        <v/>
      </c>
      <c r="F740" s="210"/>
      <c r="G740" s="210"/>
      <c r="H740" s="210"/>
      <c r="I740" s="210"/>
      <c r="J740" s="210"/>
      <c r="K740" s="210"/>
      <c r="L740" s="210"/>
      <c r="M740" s="210"/>
      <c r="N740" s="210"/>
      <c r="O740" s="196"/>
    </row>
    <row r="741" spans="1:15" s="212" customFormat="1" ht="15.75">
      <c r="A741" s="209" t="str">
        <f ca="1">IF(ISNA(VLOOKUP(D741,'Standard Smelter Names'!$B$3:$E$165,4,FALSE)),"",VLOOKUP(D741,'Standard Smelter Names'!$B$3:$E$165,4,FALSE))</f>
        <v/>
      </c>
      <c r="B741" s="210"/>
      <c r="C741" s="211"/>
      <c r="D741" s="211" t="str">
        <f t="shared" si="22"/>
        <v/>
      </c>
      <c r="E741" s="210" t="str">
        <f t="shared" si="23"/>
        <v/>
      </c>
      <c r="F741" s="210"/>
      <c r="G741" s="210"/>
      <c r="H741" s="210"/>
      <c r="I741" s="210"/>
      <c r="J741" s="210"/>
      <c r="K741" s="210"/>
      <c r="L741" s="210"/>
      <c r="M741" s="210"/>
      <c r="N741" s="210"/>
      <c r="O741" s="196"/>
    </row>
    <row r="742" spans="1:15" s="212" customFormat="1" ht="15.75">
      <c r="A742" s="209" t="str">
        <f ca="1">IF(ISNA(VLOOKUP(D742,'Standard Smelter Names'!$B$3:$E$165,4,FALSE)),"",VLOOKUP(D742,'Standard Smelter Names'!$B$3:$E$165,4,FALSE))</f>
        <v/>
      </c>
      <c r="B742" s="210"/>
      <c r="C742" s="211"/>
      <c r="D742" s="211" t="str">
        <f t="shared" si="22"/>
        <v/>
      </c>
      <c r="E742" s="210" t="str">
        <f t="shared" si="23"/>
        <v/>
      </c>
      <c r="F742" s="210"/>
      <c r="G742" s="210"/>
      <c r="H742" s="210"/>
      <c r="I742" s="210"/>
      <c r="J742" s="210"/>
      <c r="K742" s="210"/>
      <c r="L742" s="210"/>
      <c r="M742" s="210"/>
      <c r="N742" s="210"/>
      <c r="O742" s="196"/>
    </row>
    <row r="743" spans="1:15" s="212" customFormat="1" ht="15.75">
      <c r="A743" s="209" t="str">
        <f ca="1">IF(ISNA(VLOOKUP(D743,'Standard Smelter Names'!$B$3:$E$165,4,FALSE)),"",VLOOKUP(D743,'Standard Smelter Names'!$B$3:$E$165,4,FALSE))</f>
        <v/>
      </c>
      <c r="B743" s="210"/>
      <c r="C743" s="211"/>
      <c r="D743" s="211" t="str">
        <f t="shared" si="22"/>
        <v/>
      </c>
      <c r="E743" s="210" t="str">
        <f t="shared" si="23"/>
        <v/>
      </c>
      <c r="F743" s="210"/>
      <c r="G743" s="210"/>
      <c r="H743" s="210"/>
      <c r="I743" s="210"/>
      <c r="J743" s="210"/>
      <c r="K743" s="210"/>
      <c r="L743" s="210"/>
      <c r="M743" s="210"/>
      <c r="N743" s="210"/>
      <c r="O743" s="196"/>
    </row>
    <row r="744" spans="1:15" s="212" customFormat="1" ht="15.75">
      <c r="A744" s="209" t="str">
        <f ca="1">IF(ISNA(VLOOKUP(D744,'Standard Smelter Names'!$B$3:$E$165,4,FALSE)),"",VLOOKUP(D744,'Standard Smelter Names'!$B$3:$E$165,4,FALSE))</f>
        <v/>
      </c>
      <c r="B744" s="210"/>
      <c r="C744" s="211"/>
      <c r="D744" s="211" t="str">
        <f t="shared" si="22"/>
        <v/>
      </c>
      <c r="E744" s="210" t="str">
        <f t="shared" si="23"/>
        <v/>
      </c>
      <c r="F744" s="210"/>
      <c r="G744" s="210"/>
      <c r="H744" s="210"/>
      <c r="I744" s="210"/>
      <c r="J744" s="210"/>
      <c r="K744" s="210"/>
      <c r="L744" s="210"/>
      <c r="M744" s="210"/>
      <c r="N744" s="210"/>
      <c r="O744" s="196"/>
    </row>
    <row r="745" spans="1:15" s="212" customFormat="1" ht="15.75">
      <c r="A745" s="209" t="str">
        <f ca="1">IF(ISNA(VLOOKUP(D745,'Standard Smelter Names'!$B$3:$E$165,4,FALSE)),"",VLOOKUP(D745,'Standard Smelter Names'!$B$3:$E$165,4,FALSE))</f>
        <v/>
      </c>
      <c r="B745" s="210"/>
      <c r="C745" s="211"/>
      <c r="D745" s="211" t="str">
        <f t="shared" si="22"/>
        <v/>
      </c>
      <c r="E745" s="210" t="str">
        <f t="shared" si="23"/>
        <v/>
      </c>
      <c r="F745" s="210"/>
      <c r="G745" s="210"/>
      <c r="H745" s="210"/>
      <c r="I745" s="210"/>
      <c r="J745" s="210"/>
      <c r="K745" s="210"/>
      <c r="L745" s="210"/>
      <c r="M745" s="210"/>
      <c r="N745" s="210"/>
      <c r="O745" s="196"/>
    </row>
    <row r="746" spans="1:15" s="212" customFormat="1" ht="15.75">
      <c r="A746" s="209" t="str">
        <f ca="1">IF(ISNA(VLOOKUP(D746,'Standard Smelter Names'!$B$3:$E$165,4,FALSE)),"",VLOOKUP(D746,'Standard Smelter Names'!$B$3:$E$165,4,FALSE))</f>
        <v/>
      </c>
      <c r="B746" s="210"/>
      <c r="C746" s="211"/>
      <c r="D746" s="211" t="str">
        <f t="shared" si="22"/>
        <v/>
      </c>
      <c r="E746" s="210" t="str">
        <f t="shared" si="23"/>
        <v/>
      </c>
      <c r="F746" s="210"/>
      <c r="G746" s="210"/>
      <c r="H746" s="210"/>
      <c r="I746" s="210"/>
      <c r="J746" s="210"/>
      <c r="K746" s="210"/>
      <c r="L746" s="210"/>
      <c r="M746" s="210"/>
      <c r="N746" s="210"/>
      <c r="O746" s="196"/>
    </row>
    <row r="747" spans="1:15" s="212" customFormat="1" ht="15.75">
      <c r="A747" s="209" t="str">
        <f ca="1">IF(ISNA(VLOOKUP(D747,'Standard Smelter Names'!$B$3:$E$165,4,FALSE)),"",VLOOKUP(D747,'Standard Smelter Names'!$B$3:$E$165,4,FALSE))</f>
        <v/>
      </c>
      <c r="B747" s="210"/>
      <c r="C747" s="211"/>
      <c r="D747" s="211" t="str">
        <f t="shared" si="22"/>
        <v/>
      </c>
      <c r="E747" s="210" t="str">
        <f t="shared" si="23"/>
        <v/>
      </c>
      <c r="F747" s="210"/>
      <c r="G747" s="210"/>
      <c r="H747" s="210"/>
      <c r="I747" s="210"/>
      <c r="J747" s="210"/>
      <c r="K747" s="210"/>
      <c r="L747" s="210"/>
      <c r="M747" s="210"/>
      <c r="N747" s="210"/>
      <c r="O747" s="196"/>
    </row>
    <row r="748" spans="1:15" s="212" customFormat="1" ht="15.75">
      <c r="A748" s="209" t="str">
        <f ca="1">IF(ISNA(VLOOKUP(D748,'Standard Smelter Names'!$B$3:$E$165,4,FALSE)),"",VLOOKUP(D748,'Standard Smelter Names'!$B$3:$E$165,4,FALSE))</f>
        <v/>
      </c>
      <c r="B748" s="210"/>
      <c r="C748" s="211"/>
      <c r="D748" s="211" t="str">
        <f t="shared" si="22"/>
        <v/>
      </c>
      <c r="E748" s="210" t="str">
        <f t="shared" si="23"/>
        <v/>
      </c>
      <c r="F748" s="210"/>
      <c r="G748" s="210"/>
      <c r="H748" s="210"/>
      <c r="I748" s="210"/>
      <c r="J748" s="210"/>
      <c r="K748" s="210"/>
      <c r="L748" s="210"/>
      <c r="M748" s="210"/>
      <c r="N748" s="210"/>
      <c r="O748" s="196"/>
    </row>
    <row r="749" spans="1:15" s="212" customFormat="1" ht="15.75">
      <c r="A749" s="209" t="str">
        <f ca="1">IF(ISNA(VLOOKUP(D749,'Standard Smelter Names'!$B$3:$E$165,4,FALSE)),"",VLOOKUP(D749,'Standard Smelter Names'!$B$3:$E$165,4,FALSE))</f>
        <v/>
      </c>
      <c r="B749" s="210"/>
      <c r="C749" s="211"/>
      <c r="D749" s="211" t="str">
        <f t="shared" si="22"/>
        <v/>
      </c>
      <c r="E749" s="210" t="str">
        <f t="shared" si="23"/>
        <v/>
      </c>
      <c r="F749" s="210"/>
      <c r="G749" s="210"/>
      <c r="H749" s="210"/>
      <c r="I749" s="210"/>
      <c r="J749" s="210"/>
      <c r="K749" s="210"/>
      <c r="L749" s="210"/>
      <c r="M749" s="210"/>
      <c r="N749" s="210"/>
      <c r="O749" s="196"/>
    </row>
    <row r="750" spans="1:15" s="212" customFormat="1" ht="15.75">
      <c r="A750" s="209" t="str">
        <f ca="1">IF(ISNA(VLOOKUP(D750,'Standard Smelter Names'!$B$3:$E$165,4,FALSE)),"",VLOOKUP(D750,'Standard Smelter Names'!$B$3:$E$165,4,FALSE))</f>
        <v/>
      </c>
      <c r="B750" s="210"/>
      <c r="C750" s="211"/>
      <c r="D750" s="211" t="str">
        <f t="shared" si="22"/>
        <v/>
      </c>
      <c r="E750" s="210" t="str">
        <f t="shared" si="23"/>
        <v/>
      </c>
      <c r="F750" s="210"/>
      <c r="G750" s="210"/>
      <c r="H750" s="210"/>
      <c r="I750" s="210"/>
      <c r="J750" s="210"/>
      <c r="K750" s="210"/>
      <c r="L750" s="210"/>
      <c r="M750" s="210"/>
      <c r="N750" s="210"/>
      <c r="O750" s="196"/>
    </row>
    <row r="751" spans="1:15" s="212" customFormat="1" ht="15.75">
      <c r="A751" s="209" t="str">
        <f ca="1">IF(ISNA(VLOOKUP(D751,'Standard Smelter Names'!$B$3:$E$165,4,FALSE)),"",VLOOKUP(D751,'Standard Smelter Names'!$B$3:$E$165,4,FALSE))</f>
        <v/>
      </c>
      <c r="B751" s="210"/>
      <c r="C751" s="211"/>
      <c r="D751" s="211" t="str">
        <f t="shared" si="22"/>
        <v/>
      </c>
      <c r="E751" s="210" t="str">
        <f t="shared" si="23"/>
        <v/>
      </c>
      <c r="F751" s="210"/>
      <c r="G751" s="210"/>
      <c r="H751" s="210"/>
      <c r="I751" s="210"/>
      <c r="J751" s="210"/>
      <c r="K751" s="210"/>
      <c r="L751" s="210"/>
      <c r="M751" s="210"/>
      <c r="N751" s="210"/>
      <c r="O751" s="196"/>
    </row>
    <row r="752" spans="1:15" s="212" customFormat="1" ht="15.75">
      <c r="A752" s="209" t="str">
        <f ca="1">IF(ISNA(VLOOKUP(D752,'Standard Smelter Names'!$B$3:$E$165,4,FALSE)),"",VLOOKUP(D752,'Standard Smelter Names'!$B$3:$E$165,4,FALSE))</f>
        <v/>
      </c>
      <c r="B752" s="210"/>
      <c r="C752" s="211"/>
      <c r="D752" s="211" t="str">
        <f t="shared" si="22"/>
        <v/>
      </c>
      <c r="E752" s="210" t="str">
        <f t="shared" si="23"/>
        <v/>
      </c>
      <c r="F752" s="210"/>
      <c r="G752" s="210"/>
      <c r="H752" s="210"/>
      <c r="I752" s="210"/>
      <c r="J752" s="210"/>
      <c r="K752" s="210"/>
      <c r="L752" s="210"/>
      <c r="M752" s="210"/>
      <c r="N752" s="210"/>
      <c r="O752" s="196"/>
    </row>
    <row r="753" spans="1:15" s="212" customFormat="1" ht="15.75">
      <c r="A753" s="209" t="str">
        <f ca="1">IF(ISNA(VLOOKUP(D753,'Standard Smelter Names'!$B$3:$E$165,4,FALSE)),"",VLOOKUP(D753,'Standard Smelter Names'!$B$3:$E$165,4,FALSE))</f>
        <v/>
      </c>
      <c r="B753" s="210"/>
      <c r="C753" s="211"/>
      <c r="D753" s="211" t="str">
        <f t="shared" si="22"/>
        <v/>
      </c>
      <c r="E753" s="210" t="str">
        <f t="shared" si="23"/>
        <v/>
      </c>
      <c r="F753" s="210"/>
      <c r="G753" s="210"/>
      <c r="H753" s="210"/>
      <c r="I753" s="210"/>
      <c r="J753" s="210"/>
      <c r="K753" s="210"/>
      <c r="L753" s="210"/>
      <c r="M753" s="210"/>
      <c r="N753" s="210"/>
      <c r="O753" s="196"/>
    </row>
    <row r="754" spans="1:15" s="212" customFormat="1" ht="15.75">
      <c r="A754" s="209" t="str">
        <f ca="1">IF(ISNA(VLOOKUP(D754,'Standard Smelter Names'!$B$3:$E$165,4,FALSE)),"",VLOOKUP(D754,'Standard Smelter Names'!$B$3:$E$165,4,FALSE))</f>
        <v/>
      </c>
      <c r="B754" s="210"/>
      <c r="C754" s="211"/>
      <c r="D754" s="211" t="str">
        <f t="shared" si="22"/>
        <v/>
      </c>
      <c r="E754" s="210" t="str">
        <f t="shared" si="23"/>
        <v/>
      </c>
      <c r="F754" s="210"/>
      <c r="G754" s="210"/>
      <c r="H754" s="210"/>
      <c r="I754" s="210"/>
      <c r="J754" s="210"/>
      <c r="K754" s="210"/>
      <c r="L754" s="210"/>
      <c r="M754" s="210"/>
      <c r="N754" s="210"/>
      <c r="O754" s="196"/>
    </row>
    <row r="755" spans="1:15" s="212" customFormat="1" ht="15.75">
      <c r="A755" s="209" t="str">
        <f ca="1">IF(ISNA(VLOOKUP(D755,'Standard Smelter Names'!$B$3:$E$165,4,FALSE)),"",VLOOKUP(D755,'Standard Smelter Names'!$B$3:$E$165,4,FALSE))</f>
        <v/>
      </c>
      <c r="B755" s="210"/>
      <c r="C755" s="211"/>
      <c r="D755" s="211" t="str">
        <f t="shared" si="22"/>
        <v/>
      </c>
      <c r="E755" s="210" t="str">
        <f t="shared" si="23"/>
        <v/>
      </c>
      <c r="F755" s="210"/>
      <c r="G755" s="210"/>
      <c r="H755" s="210"/>
      <c r="I755" s="210"/>
      <c r="J755" s="210"/>
      <c r="K755" s="210"/>
      <c r="L755" s="210"/>
      <c r="M755" s="210"/>
      <c r="N755" s="210"/>
      <c r="O755" s="196"/>
    </row>
    <row r="756" spans="1:15" s="212" customFormat="1" ht="15.75">
      <c r="A756" s="209" t="str">
        <f ca="1">IF(ISNA(VLOOKUP(D756,'Standard Smelter Names'!$B$3:$E$165,4,FALSE)),"",VLOOKUP(D756,'Standard Smelter Names'!$B$3:$E$165,4,FALSE))</f>
        <v/>
      </c>
      <c r="B756" s="210"/>
      <c r="C756" s="211"/>
      <c r="D756" s="211" t="str">
        <f t="shared" si="22"/>
        <v/>
      </c>
      <c r="E756" s="210" t="str">
        <f t="shared" si="23"/>
        <v/>
      </c>
      <c r="F756" s="210"/>
      <c r="G756" s="210"/>
      <c r="H756" s="210"/>
      <c r="I756" s="210"/>
      <c r="J756" s="210"/>
      <c r="K756" s="210"/>
      <c r="L756" s="210"/>
      <c r="M756" s="210"/>
      <c r="N756" s="210"/>
      <c r="O756" s="196"/>
    </row>
    <row r="757" spans="1:15" s="212" customFormat="1" ht="15.75">
      <c r="A757" s="209" t="str">
        <f ca="1">IF(ISNA(VLOOKUP(D757,'Standard Smelter Names'!$B$3:$E$165,4,FALSE)),"",VLOOKUP(D757,'Standard Smelter Names'!$B$3:$E$165,4,FALSE))</f>
        <v/>
      </c>
      <c r="B757" s="210"/>
      <c r="C757" s="211"/>
      <c r="D757" s="211" t="str">
        <f t="shared" si="22"/>
        <v/>
      </c>
      <c r="E757" s="210" t="str">
        <f t="shared" si="23"/>
        <v/>
      </c>
      <c r="F757" s="210"/>
      <c r="G757" s="210"/>
      <c r="H757" s="210"/>
      <c r="I757" s="210"/>
      <c r="J757" s="210"/>
      <c r="K757" s="210"/>
      <c r="L757" s="210"/>
      <c r="M757" s="210"/>
      <c r="N757" s="210"/>
      <c r="O757" s="196"/>
    </row>
    <row r="758" spans="1:15" s="212" customFormat="1" ht="15.75">
      <c r="A758" s="209" t="str">
        <f ca="1">IF(ISNA(VLOOKUP(D758,'Standard Smelter Names'!$B$3:$E$165,4,FALSE)),"",VLOOKUP(D758,'Standard Smelter Names'!$B$3:$E$165,4,FALSE))</f>
        <v/>
      </c>
      <c r="B758" s="210"/>
      <c r="C758" s="211"/>
      <c r="D758" s="211" t="str">
        <f t="shared" si="22"/>
        <v/>
      </c>
      <c r="E758" s="210" t="str">
        <f t="shared" si="23"/>
        <v/>
      </c>
      <c r="F758" s="210"/>
      <c r="G758" s="210"/>
      <c r="H758" s="210"/>
      <c r="I758" s="210"/>
      <c r="J758" s="210"/>
      <c r="K758" s="210"/>
      <c r="L758" s="210"/>
      <c r="M758" s="210"/>
      <c r="N758" s="210"/>
      <c r="O758" s="196"/>
    </row>
    <row r="759" spans="1:15" s="212" customFormat="1" ht="15.75">
      <c r="A759" s="209" t="str">
        <f ca="1">IF(ISNA(VLOOKUP(D759,'Standard Smelter Names'!$B$3:$E$165,4,FALSE)),"",VLOOKUP(D759,'Standard Smelter Names'!$B$3:$E$165,4,FALSE))</f>
        <v/>
      </c>
      <c r="B759" s="210"/>
      <c r="C759" s="211"/>
      <c r="D759" s="211" t="str">
        <f t="shared" si="22"/>
        <v/>
      </c>
      <c r="E759" s="210" t="str">
        <f t="shared" si="23"/>
        <v/>
      </c>
      <c r="F759" s="210"/>
      <c r="G759" s="210"/>
      <c r="H759" s="210"/>
      <c r="I759" s="210"/>
      <c r="J759" s="210"/>
      <c r="K759" s="210"/>
      <c r="L759" s="210"/>
      <c r="M759" s="210"/>
      <c r="N759" s="210"/>
      <c r="O759" s="196"/>
    </row>
    <row r="760" spans="1:15" s="212" customFormat="1" ht="15.75">
      <c r="A760" s="209" t="str">
        <f ca="1">IF(ISNA(VLOOKUP(D760,'Standard Smelter Names'!$B$3:$E$165,4,FALSE)),"",VLOOKUP(D760,'Standard Smelter Names'!$B$3:$E$165,4,FALSE))</f>
        <v/>
      </c>
      <c r="B760" s="210"/>
      <c r="C760" s="211"/>
      <c r="D760" s="211" t="str">
        <f t="shared" si="22"/>
        <v/>
      </c>
      <c r="E760" s="210" t="str">
        <f t="shared" si="23"/>
        <v/>
      </c>
      <c r="F760" s="210"/>
      <c r="G760" s="210"/>
      <c r="H760" s="210"/>
      <c r="I760" s="210"/>
      <c r="J760" s="210"/>
      <c r="K760" s="210"/>
      <c r="L760" s="210"/>
      <c r="M760" s="210"/>
      <c r="N760" s="210"/>
      <c r="O760" s="196"/>
    </row>
    <row r="761" spans="1:15" s="212" customFormat="1" ht="15.75">
      <c r="A761" s="209" t="str">
        <f ca="1">IF(ISNA(VLOOKUP(D761,'Standard Smelter Names'!$B$3:$E$165,4,FALSE)),"",VLOOKUP(D761,'Standard Smelter Names'!$B$3:$E$165,4,FALSE))</f>
        <v/>
      </c>
      <c r="B761" s="210"/>
      <c r="C761" s="211"/>
      <c r="D761" s="211" t="str">
        <f t="shared" si="22"/>
        <v/>
      </c>
      <c r="E761" s="210" t="str">
        <f t="shared" si="23"/>
        <v/>
      </c>
      <c r="F761" s="210"/>
      <c r="G761" s="210"/>
      <c r="H761" s="210"/>
      <c r="I761" s="210"/>
      <c r="J761" s="210"/>
      <c r="K761" s="210"/>
      <c r="L761" s="210"/>
      <c r="M761" s="210"/>
      <c r="N761" s="210"/>
      <c r="O761" s="196"/>
    </row>
    <row r="762" spans="1:15" s="212" customFormat="1" ht="15.75">
      <c r="A762" s="209" t="str">
        <f ca="1">IF(ISNA(VLOOKUP(D762,'Standard Smelter Names'!$B$3:$E$165,4,FALSE)),"",VLOOKUP(D762,'Standard Smelter Names'!$B$3:$E$165,4,FALSE))</f>
        <v/>
      </c>
      <c r="B762" s="210"/>
      <c r="C762" s="211"/>
      <c r="D762" s="211" t="str">
        <f t="shared" si="22"/>
        <v/>
      </c>
      <c r="E762" s="210" t="str">
        <f t="shared" si="23"/>
        <v/>
      </c>
      <c r="F762" s="210"/>
      <c r="G762" s="210"/>
      <c r="H762" s="210"/>
      <c r="I762" s="210"/>
      <c r="J762" s="210"/>
      <c r="K762" s="210"/>
      <c r="L762" s="210"/>
      <c r="M762" s="210"/>
      <c r="N762" s="210"/>
      <c r="O762" s="196"/>
    </row>
    <row r="763" spans="1:15" s="212" customFormat="1" ht="15.75">
      <c r="A763" s="209" t="str">
        <f ca="1">IF(ISNA(VLOOKUP(D763,'Standard Smelter Names'!$B$3:$E$165,4,FALSE)),"",VLOOKUP(D763,'Standard Smelter Names'!$B$3:$E$165,4,FALSE))</f>
        <v/>
      </c>
      <c r="B763" s="210"/>
      <c r="C763" s="211"/>
      <c r="D763" s="211" t="str">
        <f t="shared" si="22"/>
        <v/>
      </c>
      <c r="E763" s="210" t="str">
        <f t="shared" si="23"/>
        <v/>
      </c>
      <c r="F763" s="210"/>
      <c r="G763" s="210"/>
      <c r="H763" s="210"/>
      <c r="I763" s="210"/>
      <c r="J763" s="210"/>
      <c r="K763" s="210"/>
      <c r="L763" s="210"/>
      <c r="M763" s="210"/>
      <c r="N763" s="210"/>
      <c r="O763" s="196"/>
    </row>
    <row r="764" spans="1:15" s="212" customFormat="1" ht="15.75">
      <c r="A764" s="209" t="str">
        <f ca="1">IF(ISNA(VLOOKUP(D764,'Standard Smelter Names'!$B$3:$E$165,4,FALSE)),"",VLOOKUP(D764,'Standard Smelter Names'!$B$3:$E$165,4,FALSE))</f>
        <v/>
      </c>
      <c r="B764" s="210"/>
      <c r="C764" s="211"/>
      <c r="D764" s="211" t="str">
        <f t="shared" si="22"/>
        <v/>
      </c>
      <c r="E764" s="210" t="str">
        <f t="shared" si="23"/>
        <v/>
      </c>
      <c r="F764" s="210"/>
      <c r="G764" s="210"/>
      <c r="H764" s="210"/>
      <c r="I764" s="210"/>
      <c r="J764" s="210"/>
      <c r="K764" s="210"/>
      <c r="L764" s="210"/>
      <c r="M764" s="210"/>
      <c r="N764" s="210"/>
      <c r="O764" s="196"/>
    </row>
    <row r="765" spans="1:15" s="212" customFormat="1" ht="15.75">
      <c r="A765" s="209" t="str">
        <f ca="1">IF(ISNA(VLOOKUP(D765,'Standard Smelter Names'!$B$3:$E$165,4,FALSE)),"",VLOOKUP(D765,'Standard Smelter Names'!$B$3:$E$165,4,FALSE))</f>
        <v/>
      </c>
      <c r="B765" s="210"/>
      <c r="C765" s="211"/>
      <c r="D765" s="211" t="str">
        <f t="shared" si="22"/>
        <v/>
      </c>
      <c r="E765" s="210" t="str">
        <f t="shared" si="23"/>
        <v/>
      </c>
      <c r="F765" s="210"/>
      <c r="G765" s="210"/>
      <c r="H765" s="210"/>
      <c r="I765" s="210"/>
      <c r="J765" s="210"/>
      <c r="K765" s="210"/>
      <c r="L765" s="210"/>
      <c r="M765" s="210"/>
      <c r="N765" s="210"/>
      <c r="O765" s="196"/>
    </row>
    <row r="766" spans="1:15" s="212" customFormat="1" ht="15.75">
      <c r="A766" s="209" t="str">
        <f ca="1">IF(ISNA(VLOOKUP(D766,'Standard Smelter Names'!$B$3:$E$165,4,FALSE)),"",VLOOKUP(D766,'Standard Smelter Names'!$B$3:$E$165,4,FALSE))</f>
        <v/>
      </c>
      <c r="B766" s="210"/>
      <c r="C766" s="211"/>
      <c r="D766" s="211" t="str">
        <f t="shared" si="22"/>
        <v/>
      </c>
      <c r="E766" s="210" t="str">
        <f t="shared" si="23"/>
        <v/>
      </c>
      <c r="F766" s="210"/>
      <c r="G766" s="210"/>
      <c r="H766" s="210"/>
      <c r="I766" s="210"/>
      <c r="J766" s="210"/>
      <c r="K766" s="210"/>
      <c r="L766" s="210"/>
      <c r="M766" s="210"/>
      <c r="N766" s="210"/>
      <c r="O766" s="196"/>
    </row>
    <row r="767" spans="1:15" s="212" customFormat="1" ht="15.75">
      <c r="A767" s="209" t="str">
        <f ca="1">IF(ISNA(VLOOKUP(D767,'Standard Smelter Names'!$B$3:$E$165,4,FALSE)),"",VLOOKUP(D767,'Standard Smelter Names'!$B$3:$E$165,4,FALSE))</f>
        <v/>
      </c>
      <c r="B767" s="210"/>
      <c r="C767" s="211"/>
      <c r="D767" s="211" t="str">
        <f t="shared" si="22"/>
        <v/>
      </c>
      <c r="E767" s="210" t="str">
        <f t="shared" si="23"/>
        <v/>
      </c>
      <c r="F767" s="210"/>
      <c r="G767" s="210"/>
      <c r="H767" s="210"/>
      <c r="I767" s="210"/>
      <c r="J767" s="210"/>
      <c r="K767" s="210"/>
      <c r="L767" s="210"/>
      <c r="M767" s="210"/>
      <c r="N767" s="210"/>
      <c r="O767" s="196"/>
    </row>
    <row r="768" spans="1:15" s="212" customFormat="1" ht="15.75">
      <c r="A768" s="209" t="str">
        <f ca="1">IF(ISNA(VLOOKUP(D768,'Standard Smelter Names'!$B$3:$E$165,4,FALSE)),"",VLOOKUP(D768,'Standard Smelter Names'!$B$3:$E$165,4,FALSE))</f>
        <v/>
      </c>
      <c r="B768" s="210"/>
      <c r="C768" s="211"/>
      <c r="D768" s="211" t="str">
        <f t="shared" si="22"/>
        <v/>
      </c>
      <c r="E768" s="210" t="str">
        <f t="shared" si="23"/>
        <v/>
      </c>
      <c r="F768" s="210"/>
      <c r="G768" s="210"/>
      <c r="H768" s="210"/>
      <c r="I768" s="210"/>
      <c r="J768" s="210"/>
      <c r="K768" s="210"/>
      <c r="L768" s="210"/>
      <c r="M768" s="210"/>
      <c r="N768" s="210"/>
      <c r="O768" s="196"/>
    </row>
    <row r="769" spans="1:15" s="212" customFormat="1" ht="15.75">
      <c r="A769" s="209" t="str">
        <f ca="1">IF(ISNA(VLOOKUP(D769,'Standard Smelter Names'!$B$3:$E$165,4,FALSE)),"",VLOOKUP(D769,'Standard Smelter Names'!$B$3:$E$165,4,FALSE))</f>
        <v/>
      </c>
      <c r="B769" s="210"/>
      <c r="C769" s="211"/>
      <c r="D769" s="211" t="str">
        <f t="shared" si="22"/>
        <v/>
      </c>
      <c r="E769" s="210" t="str">
        <f t="shared" si="23"/>
        <v/>
      </c>
      <c r="F769" s="210"/>
      <c r="G769" s="210"/>
      <c r="H769" s="210"/>
      <c r="I769" s="210"/>
      <c r="J769" s="210"/>
      <c r="K769" s="210"/>
      <c r="L769" s="210"/>
      <c r="M769" s="210"/>
      <c r="N769" s="210"/>
      <c r="O769" s="196"/>
    </row>
    <row r="770" spans="1:15" s="212" customFormat="1" ht="15.75">
      <c r="A770" s="209" t="str">
        <f ca="1">IF(ISNA(VLOOKUP(D770,'Standard Smelter Names'!$B$3:$E$165,4,FALSE)),"",VLOOKUP(D770,'Standard Smelter Names'!$B$3:$E$165,4,FALSE))</f>
        <v/>
      </c>
      <c r="B770" s="210"/>
      <c r="C770" s="211"/>
      <c r="D770" s="211" t="str">
        <f t="shared" si="22"/>
        <v/>
      </c>
      <c r="E770" s="210" t="str">
        <f t="shared" si="23"/>
        <v/>
      </c>
      <c r="F770" s="210"/>
      <c r="G770" s="210"/>
      <c r="H770" s="210"/>
      <c r="I770" s="210"/>
      <c r="J770" s="210"/>
      <c r="K770" s="210"/>
      <c r="L770" s="210"/>
      <c r="M770" s="210"/>
      <c r="N770" s="210"/>
      <c r="O770" s="196"/>
    </row>
    <row r="771" spans="1:15" s="212" customFormat="1" ht="15.75">
      <c r="A771" s="209" t="str">
        <f ca="1">IF(ISNA(VLOOKUP(D771,'Standard Smelter Names'!$B$3:$E$165,4,FALSE)),"",VLOOKUP(D771,'Standard Smelter Names'!$B$3:$E$165,4,FALSE))</f>
        <v/>
      </c>
      <c r="B771" s="210"/>
      <c r="C771" s="211"/>
      <c r="D771" s="211" t="str">
        <f t="shared" si="22"/>
        <v/>
      </c>
      <c r="E771" s="210" t="str">
        <f t="shared" si="23"/>
        <v/>
      </c>
      <c r="F771" s="210"/>
      <c r="G771" s="210"/>
      <c r="H771" s="210"/>
      <c r="I771" s="210"/>
      <c r="J771" s="210"/>
      <c r="K771" s="210"/>
      <c r="L771" s="210"/>
      <c r="M771" s="210"/>
      <c r="N771" s="210"/>
      <c r="O771" s="196"/>
    </row>
    <row r="772" spans="1:15" s="212" customFormat="1" ht="15.75">
      <c r="A772" s="209" t="str">
        <f ca="1">IF(ISNA(VLOOKUP(D772,'Standard Smelter Names'!$B$3:$E$165,4,FALSE)),"",VLOOKUP(D772,'Standard Smelter Names'!$B$3:$E$165,4,FALSE))</f>
        <v/>
      </c>
      <c r="B772" s="210"/>
      <c r="C772" s="211"/>
      <c r="D772" s="211" t="str">
        <f t="shared" si="22"/>
        <v/>
      </c>
      <c r="E772" s="210" t="str">
        <f t="shared" si="23"/>
        <v/>
      </c>
      <c r="F772" s="210"/>
      <c r="G772" s="210"/>
      <c r="H772" s="210"/>
      <c r="I772" s="210"/>
      <c r="J772" s="210"/>
      <c r="K772" s="210"/>
      <c r="L772" s="210"/>
      <c r="M772" s="210"/>
      <c r="N772" s="210"/>
      <c r="O772" s="196"/>
    </row>
    <row r="773" spans="1:15" s="212" customFormat="1" ht="15.75">
      <c r="A773" s="209" t="str">
        <f ca="1">IF(ISNA(VLOOKUP(D773,'Standard Smelter Names'!$B$3:$E$165,4,FALSE)),"",VLOOKUP(D773,'Standard Smelter Names'!$B$3:$E$165,4,FALSE))</f>
        <v/>
      </c>
      <c r="B773" s="210"/>
      <c r="C773" s="211"/>
      <c r="D773" s="211" t="str">
        <f t="shared" ref="D773:D836" si="24">IF(ISNA(VLOOKUP(C773,$G$1023:$I$1379,3,FALSE)),"",VLOOKUP(C773,$G$1023:$I$1379,3,FALSE))</f>
        <v/>
      </c>
      <c r="E773" s="210" t="str">
        <f t="shared" ref="E773:E836" si="25">IF(ISNA(VLOOKUP(C773,$G$1023:$I$1379,2,FALSE)),"",VLOOKUP(C773,$G$1023:$I$1379,2,FALSE))</f>
        <v/>
      </c>
      <c r="F773" s="210"/>
      <c r="G773" s="210"/>
      <c r="H773" s="210"/>
      <c r="I773" s="210"/>
      <c r="J773" s="210"/>
      <c r="K773" s="210"/>
      <c r="L773" s="210"/>
      <c r="M773" s="210"/>
      <c r="N773" s="210"/>
      <c r="O773" s="196"/>
    </row>
    <row r="774" spans="1:15" s="212" customFormat="1" ht="15.75">
      <c r="A774" s="209" t="str">
        <f ca="1">IF(ISNA(VLOOKUP(D774,'Standard Smelter Names'!$B$3:$E$165,4,FALSE)),"",VLOOKUP(D774,'Standard Smelter Names'!$B$3:$E$165,4,FALSE))</f>
        <v/>
      </c>
      <c r="B774" s="210"/>
      <c r="C774" s="211"/>
      <c r="D774" s="211" t="str">
        <f t="shared" si="24"/>
        <v/>
      </c>
      <c r="E774" s="210" t="str">
        <f t="shared" si="25"/>
        <v/>
      </c>
      <c r="F774" s="210"/>
      <c r="G774" s="210"/>
      <c r="H774" s="210"/>
      <c r="I774" s="210"/>
      <c r="J774" s="210"/>
      <c r="K774" s="210"/>
      <c r="L774" s="210"/>
      <c r="M774" s="210"/>
      <c r="N774" s="210"/>
      <c r="O774" s="196"/>
    </row>
    <row r="775" spans="1:15" s="212" customFormat="1" ht="15.75">
      <c r="A775" s="209" t="str">
        <f ca="1">IF(ISNA(VLOOKUP(D775,'Standard Smelter Names'!$B$3:$E$165,4,FALSE)),"",VLOOKUP(D775,'Standard Smelter Names'!$B$3:$E$165,4,FALSE))</f>
        <v/>
      </c>
      <c r="B775" s="210"/>
      <c r="C775" s="211"/>
      <c r="D775" s="211" t="str">
        <f t="shared" si="24"/>
        <v/>
      </c>
      <c r="E775" s="210" t="str">
        <f t="shared" si="25"/>
        <v/>
      </c>
      <c r="F775" s="210"/>
      <c r="G775" s="210"/>
      <c r="H775" s="210"/>
      <c r="I775" s="210"/>
      <c r="J775" s="210"/>
      <c r="K775" s="210"/>
      <c r="L775" s="210"/>
      <c r="M775" s="210"/>
      <c r="N775" s="210"/>
      <c r="O775" s="196"/>
    </row>
    <row r="776" spans="1:15" s="212" customFormat="1" ht="15.75">
      <c r="A776" s="209" t="str">
        <f ca="1">IF(ISNA(VLOOKUP(D776,'Standard Smelter Names'!$B$3:$E$165,4,FALSE)),"",VLOOKUP(D776,'Standard Smelter Names'!$B$3:$E$165,4,FALSE))</f>
        <v/>
      </c>
      <c r="B776" s="210"/>
      <c r="C776" s="211"/>
      <c r="D776" s="211" t="str">
        <f t="shared" si="24"/>
        <v/>
      </c>
      <c r="E776" s="210" t="str">
        <f t="shared" si="25"/>
        <v/>
      </c>
      <c r="F776" s="210"/>
      <c r="G776" s="210"/>
      <c r="H776" s="210"/>
      <c r="I776" s="210"/>
      <c r="J776" s="210"/>
      <c r="K776" s="210"/>
      <c r="L776" s="210"/>
      <c r="M776" s="210"/>
      <c r="N776" s="210"/>
      <c r="O776" s="196"/>
    </row>
    <row r="777" spans="1:15" s="212" customFormat="1" ht="15.75">
      <c r="A777" s="209" t="str">
        <f ca="1">IF(ISNA(VLOOKUP(D777,'Standard Smelter Names'!$B$3:$E$165,4,FALSE)),"",VLOOKUP(D777,'Standard Smelter Names'!$B$3:$E$165,4,FALSE))</f>
        <v/>
      </c>
      <c r="B777" s="210"/>
      <c r="C777" s="211"/>
      <c r="D777" s="211" t="str">
        <f t="shared" si="24"/>
        <v/>
      </c>
      <c r="E777" s="210" t="str">
        <f t="shared" si="25"/>
        <v/>
      </c>
      <c r="F777" s="210"/>
      <c r="G777" s="210"/>
      <c r="H777" s="210"/>
      <c r="I777" s="210"/>
      <c r="J777" s="210"/>
      <c r="K777" s="210"/>
      <c r="L777" s="210"/>
      <c r="M777" s="210"/>
      <c r="N777" s="210"/>
      <c r="O777" s="196"/>
    </row>
    <row r="778" spans="1:15" s="212" customFormat="1" ht="15.75">
      <c r="A778" s="209" t="str">
        <f ca="1">IF(ISNA(VLOOKUP(D778,'Standard Smelter Names'!$B$3:$E$165,4,FALSE)),"",VLOOKUP(D778,'Standard Smelter Names'!$B$3:$E$165,4,FALSE))</f>
        <v/>
      </c>
      <c r="B778" s="210"/>
      <c r="C778" s="211"/>
      <c r="D778" s="211" t="str">
        <f t="shared" si="24"/>
        <v/>
      </c>
      <c r="E778" s="210" t="str">
        <f t="shared" si="25"/>
        <v/>
      </c>
      <c r="F778" s="210"/>
      <c r="G778" s="210"/>
      <c r="H778" s="210"/>
      <c r="I778" s="210"/>
      <c r="J778" s="210"/>
      <c r="K778" s="210"/>
      <c r="L778" s="210"/>
      <c r="M778" s="210"/>
      <c r="N778" s="210"/>
      <c r="O778" s="196"/>
    </row>
    <row r="779" spans="1:15" s="212" customFormat="1" ht="15.75">
      <c r="A779" s="209" t="str">
        <f ca="1">IF(ISNA(VLOOKUP(D779,'Standard Smelter Names'!$B$3:$E$165,4,FALSE)),"",VLOOKUP(D779,'Standard Smelter Names'!$B$3:$E$165,4,FALSE))</f>
        <v/>
      </c>
      <c r="B779" s="210"/>
      <c r="C779" s="211"/>
      <c r="D779" s="211" t="str">
        <f t="shared" si="24"/>
        <v/>
      </c>
      <c r="E779" s="210" t="str">
        <f t="shared" si="25"/>
        <v/>
      </c>
      <c r="F779" s="210"/>
      <c r="G779" s="210"/>
      <c r="H779" s="210"/>
      <c r="I779" s="210"/>
      <c r="J779" s="210"/>
      <c r="K779" s="210"/>
      <c r="L779" s="210"/>
      <c r="M779" s="210"/>
      <c r="N779" s="210"/>
      <c r="O779" s="196"/>
    </row>
    <row r="780" spans="1:15" s="212" customFormat="1" ht="15.75">
      <c r="A780" s="209" t="str">
        <f ca="1">IF(ISNA(VLOOKUP(D780,'Standard Smelter Names'!$B$3:$E$165,4,FALSE)),"",VLOOKUP(D780,'Standard Smelter Names'!$B$3:$E$165,4,FALSE))</f>
        <v/>
      </c>
      <c r="B780" s="210"/>
      <c r="C780" s="211"/>
      <c r="D780" s="211" t="str">
        <f t="shared" si="24"/>
        <v/>
      </c>
      <c r="E780" s="210" t="str">
        <f t="shared" si="25"/>
        <v/>
      </c>
      <c r="F780" s="210"/>
      <c r="G780" s="210"/>
      <c r="H780" s="210"/>
      <c r="I780" s="210"/>
      <c r="J780" s="210"/>
      <c r="K780" s="210"/>
      <c r="L780" s="210"/>
      <c r="M780" s="210"/>
      <c r="N780" s="210"/>
      <c r="O780" s="196"/>
    </row>
    <row r="781" spans="1:15" s="212" customFormat="1" ht="15.75">
      <c r="A781" s="209" t="str">
        <f ca="1">IF(ISNA(VLOOKUP(D781,'Standard Smelter Names'!$B$3:$E$165,4,FALSE)),"",VLOOKUP(D781,'Standard Smelter Names'!$B$3:$E$165,4,FALSE))</f>
        <v/>
      </c>
      <c r="B781" s="210"/>
      <c r="C781" s="211"/>
      <c r="D781" s="211" t="str">
        <f t="shared" si="24"/>
        <v/>
      </c>
      <c r="E781" s="210" t="str">
        <f t="shared" si="25"/>
        <v/>
      </c>
      <c r="F781" s="210"/>
      <c r="G781" s="210"/>
      <c r="H781" s="210"/>
      <c r="I781" s="210"/>
      <c r="J781" s="210"/>
      <c r="K781" s="210"/>
      <c r="L781" s="210"/>
      <c r="M781" s="210"/>
      <c r="N781" s="210"/>
      <c r="O781" s="196"/>
    </row>
    <row r="782" spans="1:15" s="212" customFormat="1" ht="15.75">
      <c r="A782" s="209" t="str">
        <f ca="1">IF(ISNA(VLOOKUP(D782,'Standard Smelter Names'!$B$3:$E$165,4,FALSE)),"",VLOOKUP(D782,'Standard Smelter Names'!$B$3:$E$165,4,FALSE))</f>
        <v/>
      </c>
      <c r="B782" s="210"/>
      <c r="C782" s="211"/>
      <c r="D782" s="211" t="str">
        <f t="shared" si="24"/>
        <v/>
      </c>
      <c r="E782" s="210" t="str">
        <f t="shared" si="25"/>
        <v/>
      </c>
      <c r="F782" s="210"/>
      <c r="G782" s="210"/>
      <c r="H782" s="210"/>
      <c r="I782" s="210"/>
      <c r="J782" s="210"/>
      <c r="K782" s="210"/>
      <c r="L782" s="210"/>
      <c r="M782" s="210"/>
      <c r="N782" s="210"/>
      <c r="O782" s="196"/>
    </row>
    <row r="783" spans="1:15" s="212" customFormat="1" ht="15.75">
      <c r="A783" s="209" t="str">
        <f ca="1">IF(ISNA(VLOOKUP(D783,'Standard Smelter Names'!$B$3:$E$165,4,FALSE)),"",VLOOKUP(D783,'Standard Smelter Names'!$B$3:$E$165,4,FALSE))</f>
        <v/>
      </c>
      <c r="B783" s="210"/>
      <c r="C783" s="211"/>
      <c r="D783" s="211" t="str">
        <f t="shared" si="24"/>
        <v/>
      </c>
      <c r="E783" s="210" t="str">
        <f t="shared" si="25"/>
        <v/>
      </c>
      <c r="F783" s="210"/>
      <c r="G783" s="210"/>
      <c r="H783" s="210"/>
      <c r="I783" s="210"/>
      <c r="J783" s="210"/>
      <c r="K783" s="210"/>
      <c r="L783" s="210"/>
      <c r="M783" s="210"/>
      <c r="N783" s="210"/>
      <c r="O783" s="196"/>
    </row>
    <row r="784" spans="1:15" s="212" customFormat="1" ht="15.75">
      <c r="A784" s="209" t="str">
        <f ca="1">IF(ISNA(VLOOKUP(D784,'Standard Smelter Names'!$B$3:$E$165,4,FALSE)),"",VLOOKUP(D784,'Standard Smelter Names'!$B$3:$E$165,4,FALSE))</f>
        <v/>
      </c>
      <c r="B784" s="210"/>
      <c r="C784" s="211"/>
      <c r="D784" s="211" t="str">
        <f t="shared" si="24"/>
        <v/>
      </c>
      <c r="E784" s="210" t="str">
        <f t="shared" si="25"/>
        <v/>
      </c>
      <c r="F784" s="210"/>
      <c r="G784" s="210"/>
      <c r="H784" s="210"/>
      <c r="I784" s="210"/>
      <c r="J784" s="210"/>
      <c r="K784" s="210"/>
      <c r="L784" s="210"/>
      <c r="M784" s="210"/>
      <c r="N784" s="210"/>
      <c r="O784" s="196"/>
    </row>
    <row r="785" spans="1:15" s="212" customFormat="1" ht="15.75">
      <c r="A785" s="209" t="str">
        <f ca="1">IF(ISNA(VLOOKUP(D785,'Standard Smelter Names'!$B$3:$E$165,4,FALSE)),"",VLOOKUP(D785,'Standard Smelter Names'!$B$3:$E$165,4,FALSE))</f>
        <v/>
      </c>
      <c r="B785" s="210"/>
      <c r="C785" s="211"/>
      <c r="D785" s="211" t="str">
        <f t="shared" si="24"/>
        <v/>
      </c>
      <c r="E785" s="210" t="str">
        <f t="shared" si="25"/>
        <v/>
      </c>
      <c r="F785" s="210"/>
      <c r="G785" s="210"/>
      <c r="H785" s="210"/>
      <c r="I785" s="210"/>
      <c r="J785" s="210"/>
      <c r="K785" s="210"/>
      <c r="L785" s="210"/>
      <c r="M785" s="210"/>
      <c r="N785" s="210"/>
      <c r="O785" s="196"/>
    </row>
    <row r="786" spans="1:15" s="212" customFormat="1" ht="15.75">
      <c r="A786" s="209" t="str">
        <f ca="1">IF(ISNA(VLOOKUP(D786,'Standard Smelter Names'!$B$3:$E$165,4,FALSE)),"",VLOOKUP(D786,'Standard Smelter Names'!$B$3:$E$165,4,FALSE))</f>
        <v/>
      </c>
      <c r="B786" s="210"/>
      <c r="C786" s="211"/>
      <c r="D786" s="211" t="str">
        <f t="shared" si="24"/>
        <v/>
      </c>
      <c r="E786" s="210" t="str">
        <f t="shared" si="25"/>
        <v/>
      </c>
      <c r="F786" s="210"/>
      <c r="G786" s="210"/>
      <c r="H786" s="210"/>
      <c r="I786" s="210"/>
      <c r="J786" s="210"/>
      <c r="K786" s="210"/>
      <c r="L786" s="210"/>
      <c r="M786" s="210"/>
      <c r="N786" s="210"/>
      <c r="O786" s="196"/>
    </row>
    <row r="787" spans="1:15" s="212" customFormat="1" ht="15.75">
      <c r="A787" s="209" t="str">
        <f ca="1">IF(ISNA(VLOOKUP(D787,'Standard Smelter Names'!$B$3:$E$165,4,FALSE)),"",VLOOKUP(D787,'Standard Smelter Names'!$B$3:$E$165,4,FALSE))</f>
        <v/>
      </c>
      <c r="B787" s="210"/>
      <c r="C787" s="211"/>
      <c r="D787" s="211" t="str">
        <f t="shared" si="24"/>
        <v/>
      </c>
      <c r="E787" s="210" t="str">
        <f t="shared" si="25"/>
        <v/>
      </c>
      <c r="F787" s="210"/>
      <c r="G787" s="210"/>
      <c r="H787" s="210"/>
      <c r="I787" s="210"/>
      <c r="J787" s="210"/>
      <c r="K787" s="210"/>
      <c r="L787" s="210"/>
      <c r="M787" s="210"/>
      <c r="N787" s="210"/>
      <c r="O787" s="196"/>
    </row>
    <row r="788" spans="1:15" s="212" customFormat="1" ht="15.75">
      <c r="A788" s="209" t="str">
        <f ca="1">IF(ISNA(VLOOKUP(D788,'Standard Smelter Names'!$B$3:$E$165,4,FALSE)),"",VLOOKUP(D788,'Standard Smelter Names'!$B$3:$E$165,4,FALSE))</f>
        <v/>
      </c>
      <c r="B788" s="210"/>
      <c r="C788" s="211"/>
      <c r="D788" s="211" t="str">
        <f t="shared" si="24"/>
        <v/>
      </c>
      <c r="E788" s="210" t="str">
        <f t="shared" si="25"/>
        <v/>
      </c>
      <c r="F788" s="210"/>
      <c r="G788" s="210"/>
      <c r="H788" s="210"/>
      <c r="I788" s="210"/>
      <c r="J788" s="210"/>
      <c r="K788" s="210"/>
      <c r="L788" s="210"/>
      <c r="M788" s="210"/>
      <c r="N788" s="210"/>
      <c r="O788" s="196"/>
    </row>
    <row r="789" spans="1:15" s="212" customFormat="1" ht="15.75">
      <c r="A789" s="209" t="str">
        <f ca="1">IF(ISNA(VLOOKUP(D789,'Standard Smelter Names'!$B$3:$E$165,4,FALSE)),"",VLOOKUP(D789,'Standard Smelter Names'!$B$3:$E$165,4,FALSE))</f>
        <v/>
      </c>
      <c r="B789" s="210"/>
      <c r="C789" s="211"/>
      <c r="D789" s="211" t="str">
        <f t="shared" si="24"/>
        <v/>
      </c>
      <c r="E789" s="210" t="str">
        <f t="shared" si="25"/>
        <v/>
      </c>
      <c r="F789" s="210"/>
      <c r="G789" s="210"/>
      <c r="H789" s="210"/>
      <c r="I789" s="210"/>
      <c r="J789" s="210"/>
      <c r="K789" s="210"/>
      <c r="L789" s="210"/>
      <c r="M789" s="210"/>
      <c r="N789" s="210"/>
      <c r="O789" s="196"/>
    </row>
    <row r="790" spans="1:15" s="212" customFormat="1" ht="15.75">
      <c r="A790" s="209" t="str">
        <f ca="1">IF(ISNA(VLOOKUP(D790,'Standard Smelter Names'!$B$3:$E$165,4,FALSE)),"",VLOOKUP(D790,'Standard Smelter Names'!$B$3:$E$165,4,FALSE))</f>
        <v/>
      </c>
      <c r="B790" s="210"/>
      <c r="C790" s="211"/>
      <c r="D790" s="211" t="str">
        <f t="shared" si="24"/>
        <v/>
      </c>
      <c r="E790" s="210" t="str">
        <f t="shared" si="25"/>
        <v/>
      </c>
      <c r="F790" s="210"/>
      <c r="G790" s="210"/>
      <c r="H790" s="210"/>
      <c r="I790" s="210"/>
      <c r="J790" s="210"/>
      <c r="K790" s="210"/>
      <c r="L790" s="210"/>
      <c r="M790" s="210"/>
      <c r="N790" s="210"/>
      <c r="O790" s="196"/>
    </row>
    <row r="791" spans="1:15" s="212" customFormat="1" ht="15.75">
      <c r="A791" s="209" t="str">
        <f ca="1">IF(ISNA(VLOOKUP(D791,'Standard Smelter Names'!$B$3:$E$165,4,FALSE)),"",VLOOKUP(D791,'Standard Smelter Names'!$B$3:$E$165,4,FALSE))</f>
        <v/>
      </c>
      <c r="B791" s="210"/>
      <c r="C791" s="211"/>
      <c r="D791" s="211" t="str">
        <f t="shared" si="24"/>
        <v/>
      </c>
      <c r="E791" s="210" t="str">
        <f t="shared" si="25"/>
        <v/>
      </c>
      <c r="F791" s="210"/>
      <c r="G791" s="210"/>
      <c r="H791" s="210"/>
      <c r="I791" s="210"/>
      <c r="J791" s="210"/>
      <c r="K791" s="210"/>
      <c r="L791" s="210"/>
      <c r="M791" s="210"/>
      <c r="N791" s="210"/>
      <c r="O791" s="196"/>
    </row>
    <row r="792" spans="1:15" s="212" customFormat="1" ht="15.75">
      <c r="A792" s="209" t="str">
        <f ca="1">IF(ISNA(VLOOKUP(D792,'Standard Smelter Names'!$B$3:$E$165,4,FALSE)),"",VLOOKUP(D792,'Standard Smelter Names'!$B$3:$E$165,4,FALSE))</f>
        <v/>
      </c>
      <c r="B792" s="210"/>
      <c r="C792" s="211"/>
      <c r="D792" s="211" t="str">
        <f t="shared" si="24"/>
        <v/>
      </c>
      <c r="E792" s="210" t="str">
        <f t="shared" si="25"/>
        <v/>
      </c>
      <c r="F792" s="210"/>
      <c r="G792" s="210"/>
      <c r="H792" s="210"/>
      <c r="I792" s="210"/>
      <c r="J792" s="210"/>
      <c r="K792" s="210"/>
      <c r="L792" s="210"/>
      <c r="M792" s="210"/>
      <c r="N792" s="210"/>
      <c r="O792" s="196"/>
    </row>
    <row r="793" spans="1:15" s="212" customFormat="1" ht="15.75">
      <c r="A793" s="209" t="str">
        <f ca="1">IF(ISNA(VLOOKUP(D793,'Standard Smelter Names'!$B$3:$E$165,4,FALSE)),"",VLOOKUP(D793,'Standard Smelter Names'!$B$3:$E$165,4,FALSE))</f>
        <v/>
      </c>
      <c r="B793" s="210"/>
      <c r="C793" s="211"/>
      <c r="D793" s="211" t="str">
        <f t="shared" si="24"/>
        <v/>
      </c>
      <c r="E793" s="210" t="str">
        <f t="shared" si="25"/>
        <v/>
      </c>
      <c r="F793" s="210"/>
      <c r="G793" s="210"/>
      <c r="H793" s="210"/>
      <c r="I793" s="210"/>
      <c r="J793" s="210"/>
      <c r="K793" s="210"/>
      <c r="L793" s="210"/>
      <c r="M793" s="210"/>
      <c r="N793" s="210"/>
      <c r="O793" s="196"/>
    </row>
    <row r="794" spans="1:15" s="212" customFormat="1" ht="15.75">
      <c r="A794" s="209" t="str">
        <f ca="1">IF(ISNA(VLOOKUP(D794,'Standard Smelter Names'!$B$3:$E$165,4,FALSE)),"",VLOOKUP(D794,'Standard Smelter Names'!$B$3:$E$165,4,FALSE))</f>
        <v/>
      </c>
      <c r="B794" s="210"/>
      <c r="C794" s="211"/>
      <c r="D794" s="211" t="str">
        <f t="shared" si="24"/>
        <v/>
      </c>
      <c r="E794" s="210" t="str">
        <f t="shared" si="25"/>
        <v/>
      </c>
      <c r="F794" s="210"/>
      <c r="G794" s="210"/>
      <c r="H794" s="210"/>
      <c r="I794" s="210"/>
      <c r="J794" s="210"/>
      <c r="K794" s="210"/>
      <c r="L794" s="210"/>
      <c r="M794" s="210"/>
      <c r="N794" s="210"/>
      <c r="O794" s="196"/>
    </row>
    <row r="795" spans="1:15" s="212" customFormat="1" ht="15.75">
      <c r="A795" s="209" t="str">
        <f ca="1">IF(ISNA(VLOOKUP(D795,'Standard Smelter Names'!$B$3:$E$165,4,FALSE)),"",VLOOKUP(D795,'Standard Smelter Names'!$B$3:$E$165,4,FALSE))</f>
        <v/>
      </c>
      <c r="B795" s="210"/>
      <c r="C795" s="211"/>
      <c r="D795" s="211" t="str">
        <f t="shared" si="24"/>
        <v/>
      </c>
      <c r="E795" s="210" t="str">
        <f t="shared" si="25"/>
        <v/>
      </c>
      <c r="F795" s="210"/>
      <c r="G795" s="210"/>
      <c r="H795" s="210"/>
      <c r="I795" s="210"/>
      <c r="J795" s="210"/>
      <c r="K795" s="210"/>
      <c r="L795" s="210"/>
      <c r="M795" s="210"/>
      <c r="N795" s="210"/>
      <c r="O795" s="196"/>
    </row>
    <row r="796" spans="1:15" s="212" customFormat="1" ht="15.75">
      <c r="A796" s="209" t="str">
        <f ca="1">IF(ISNA(VLOOKUP(D796,'Standard Smelter Names'!$B$3:$E$165,4,FALSE)),"",VLOOKUP(D796,'Standard Smelter Names'!$B$3:$E$165,4,FALSE))</f>
        <v/>
      </c>
      <c r="B796" s="210"/>
      <c r="C796" s="211"/>
      <c r="D796" s="211" t="str">
        <f t="shared" si="24"/>
        <v/>
      </c>
      <c r="E796" s="210" t="str">
        <f t="shared" si="25"/>
        <v/>
      </c>
      <c r="F796" s="210"/>
      <c r="G796" s="210"/>
      <c r="H796" s="210"/>
      <c r="I796" s="210"/>
      <c r="J796" s="210"/>
      <c r="K796" s="210"/>
      <c r="L796" s="210"/>
      <c r="M796" s="210"/>
      <c r="N796" s="210"/>
      <c r="O796" s="196"/>
    </row>
    <row r="797" spans="1:15" s="212" customFormat="1" ht="15.75">
      <c r="A797" s="209" t="str">
        <f ca="1">IF(ISNA(VLOOKUP(D797,'Standard Smelter Names'!$B$3:$E$165,4,FALSE)),"",VLOOKUP(D797,'Standard Smelter Names'!$B$3:$E$165,4,FALSE))</f>
        <v/>
      </c>
      <c r="B797" s="210"/>
      <c r="C797" s="211"/>
      <c r="D797" s="211" t="str">
        <f t="shared" si="24"/>
        <v/>
      </c>
      <c r="E797" s="210" t="str">
        <f t="shared" si="25"/>
        <v/>
      </c>
      <c r="F797" s="210"/>
      <c r="G797" s="210"/>
      <c r="H797" s="210"/>
      <c r="I797" s="210"/>
      <c r="J797" s="210"/>
      <c r="K797" s="210"/>
      <c r="L797" s="210"/>
      <c r="M797" s="210"/>
      <c r="N797" s="210"/>
      <c r="O797" s="196"/>
    </row>
    <row r="798" spans="1:15" s="212" customFormat="1" ht="15.75">
      <c r="A798" s="209" t="str">
        <f ca="1">IF(ISNA(VLOOKUP(D798,'Standard Smelter Names'!$B$3:$E$165,4,FALSE)),"",VLOOKUP(D798,'Standard Smelter Names'!$B$3:$E$165,4,FALSE))</f>
        <v/>
      </c>
      <c r="B798" s="210"/>
      <c r="C798" s="211"/>
      <c r="D798" s="211" t="str">
        <f t="shared" si="24"/>
        <v/>
      </c>
      <c r="E798" s="210" t="str">
        <f t="shared" si="25"/>
        <v/>
      </c>
      <c r="F798" s="210"/>
      <c r="G798" s="210"/>
      <c r="H798" s="210"/>
      <c r="I798" s="210"/>
      <c r="J798" s="210"/>
      <c r="K798" s="210"/>
      <c r="L798" s="210"/>
      <c r="M798" s="210"/>
      <c r="N798" s="210"/>
      <c r="O798" s="196"/>
    </row>
    <row r="799" spans="1:15" s="212" customFormat="1" ht="15.75">
      <c r="A799" s="209" t="str">
        <f ca="1">IF(ISNA(VLOOKUP(D799,'Standard Smelter Names'!$B$3:$E$165,4,FALSE)),"",VLOOKUP(D799,'Standard Smelter Names'!$B$3:$E$165,4,FALSE))</f>
        <v/>
      </c>
      <c r="B799" s="210"/>
      <c r="C799" s="211"/>
      <c r="D799" s="211" t="str">
        <f t="shared" si="24"/>
        <v/>
      </c>
      <c r="E799" s="210" t="str">
        <f t="shared" si="25"/>
        <v/>
      </c>
      <c r="F799" s="210"/>
      <c r="G799" s="210"/>
      <c r="H799" s="210"/>
      <c r="I799" s="210"/>
      <c r="J799" s="210"/>
      <c r="K799" s="210"/>
      <c r="L799" s="210"/>
      <c r="M799" s="210"/>
      <c r="N799" s="210"/>
      <c r="O799" s="196"/>
    </row>
    <row r="800" spans="1:15" s="212" customFormat="1" ht="15.75">
      <c r="A800" s="209" t="str">
        <f ca="1">IF(ISNA(VLOOKUP(D800,'Standard Smelter Names'!$B$3:$E$165,4,FALSE)),"",VLOOKUP(D800,'Standard Smelter Names'!$B$3:$E$165,4,FALSE))</f>
        <v/>
      </c>
      <c r="B800" s="210"/>
      <c r="C800" s="211"/>
      <c r="D800" s="211" t="str">
        <f t="shared" si="24"/>
        <v/>
      </c>
      <c r="E800" s="210" t="str">
        <f t="shared" si="25"/>
        <v/>
      </c>
      <c r="F800" s="210"/>
      <c r="G800" s="210"/>
      <c r="H800" s="210"/>
      <c r="I800" s="210"/>
      <c r="J800" s="210"/>
      <c r="K800" s="210"/>
      <c r="L800" s="210"/>
      <c r="M800" s="210"/>
      <c r="N800" s="210"/>
      <c r="O800" s="196"/>
    </row>
    <row r="801" spans="1:15" s="212" customFormat="1" ht="15.75">
      <c r="A801" s="209" t="str">
        <f ca="1">IF(ISNA(VLOOKUP(D801,'Standard Smelter Names'!$B$3:$E$165,4,FALSE)),"",VLOOKUP(D801,'Standard Smelter Names'!$B$3:$E$165,4,FALSE))</f>
        <v/>
      </c>
      <c r="B801" s="210"/>
      <c r="C801" s="211"/>
      <c r="D801" s="211" t="str">
        <f t="shared" si="24"/>
        <v/>
      </c>
      <c r="E801" s="210" t="str">
        <f t="shared" si="25"/>
        <v/>
      </c>
      <c r="F801" s="210"/>
      <c r="G801" s="210"/>
      <c r="H801" s="210"/>
      <c r="I801" s="210"/>
      <c r="J801" s="210"/>
      <c r="K801" s="210"/>
      <c r="L801" s="210"/>
      <c r="M801" s="210"/>
      <c r="N801" s="210"/>
      <c r="O801" s="196"/>
    </row>
    <row r="802" spans="1:15" s="212" customFormat="1" ht="15.75">
      <c r="A802" s="209" t="str">
        <f ca="1">IF(ISNA(VLOOKUP(D802,'Standard Smelter Names'!$B$3:$E$165,4,FALSE)),"",VLOOKUP(D802,'Standard Smelter Names'!$B$3:$E$165,4,FALSE))</f>
        <v/>
      </c>
      <c r="B802" s="210"/>
      <c r="C802" s="211"/>
      <c r="D802" s="211" t="str">
        <f t="shared" si="24"/>
        <v/>
      </c>
      <c r="E802" s="210" t="str">
        <f t="shared" si="25"/>
        <v/>
      </c>
      <c r="F802" s="210"/>
      <c r="G802" s="210"/>
      <c r="H802" s="210"/>
      <c r="I802" s="210"/>
      <c r="J802" s="210"/>
      <c r="K802" s="210"/>
      <c r="L802" s="210"/>
      <c r="M802" s="210"/>
      <c r="N802" s="210"/>
      <c r="O802" s="196"/>
    </row>
    <row r="803" spans="1:15" s="212" customFormat="1" ht="15.75">
      <c r="A803" s="209" t="str">
        <f ca="1">IF(ISNA(VLOOKUP(D803,'Standard Smelter Names'!$B$3:$E$165,4,FALSE)),"",VLOOKUP(D803,'Standard Smelter Names'!$B$3:$E$165,4,FALSE))</f>
        <v/>
      </c>
      <c r="B803" s="210"/>
      <c r="C803" s="211"/>
      <c r="D803" s="211" t="str">
        <f t="shared" si="24"/>
        <v/>
      </c>
      <c r="E803" s="210" t="str">
        <f t="shared" si="25"/>
        <v/>
      </c>
      <c r="F803" s="210"/>
      <c r="G803" s="210"/>
      <c r="H803" s="210"/>
      <c r="I803" s="210"/>
      <c r="J803" s="210"/>
      <c r="K803" s="210"/>
      <c r="L803" s="210"/>
      <c r="M803" s="210"/>
      <c r="N803" s="210"/>
      <c r="O803" s="196"/>
    </row>
    <row r="804" spans="1:15" s="212" customFormat="1" ht="15.75">
      <c r="A804" s="209" t="str">
        <f ca="1">IF(ISNA(VLOOKUP(D804,'Standard Smelter Names'!$B$3:$E$165,4,FALSE)),"",VLOOKUP(D804,'Standard Smelter Names'!$B$3:$E$165,4,FALSE))</f>
        <v/>
      </c>
      <c r="B804" s="210"/>
      <c r="C804" s="211"/>
      <c r="D804" s="211" t="str">
        <f t="shared" si="24"/>
        <v/>
      </c>
      <c r="E804" s="210" t="str">
        <f t="shared" si="25"/>
        <v/>
      </c>
      <c r="F804" s="210"/>
      <c r="G804" s="210"/>
      <c r="H804" s="210"/>
      <c r="I804" s="210"/>
      <c r="J804" s="210"/>
      <c r="K804" s="210"/>
      <c r="L804" s="210"/>
      <c r="M804" s="210"/>
      <c r="N804" s="210"/>
      <c r="O804" s="196"/>
    </row>
    <row r="805" spans="1:15" s="212" customFormat="1" ht="15.75">
      <c r="A805" s="209" t="str">
        <f ca="1">IF(ISNA(VLOOKUP(D805,'Standard Smelter Names'!$B$3:$E$165,4,FALSE)),"",VLOOKUP(D805,'Standard Smelter Names'!$B$3:$E$165,4,FALSE))</f>
        <v/>
      </c>
      <c r="B805" s="210"/>
      <c r="C805" s="211"/>
      <c r="D805" s="211" t="str">
        <f t="shared" si="24"/>
        <v/>
      </c>
      <c r="E805" s="210" t="str">
        <f t="shared" si="25"/>
        <v/>
      </c>
      <c r="F805" s="210"/>
      <c r="G805" s="210"/>
      <c r="H805" s="210"/>
      <c r="I805" s="210"/>
      <c r="J805" s="210"/>
      <c r="K805" s="210"/>
      <c r="L805" s="210"/>
      <c r="M805" s="210"/>
      <c r="N805" s="210"/>
      <c r="O805" s="196"/>
    </row>
    <row r="806" spans="1:15" s="212" customFormat="1" ht="15.75">
      <c r="A806" s="209" t="str">
        <f ca="1">IF(ISNA(VLOOKUP(D806,'Standard Smelter Names'!$B$3:$E$165,4,FALSE)),"",VLOOKUP(D806,'Standard Smelter Names'!$B$3:$E$165,4,FALSE))</f>
        <v/>
      </c>
      <c r="B806" s="210"/>
      <c r="C806" s="211"/>
      <c r="D806" s="211" t="str">
        <f t="shared" si="24"/>
        <v/>
      </c>
      <c r="E806" s="210" t="str">
        <f t="shared" si="25"/>
        <v/>
      </c>
      <c r="F806" s="210"/>
      <c r="G806" s="210"/>
      <c r="H806" s="210"/>
      <c r="I806" s="210"/>
      <c r="J806" s="210"/>
      <c r="K806" s="210"/>
      <c r="L806" s="210"/>
      <c r="M806" s="210"/>
      <c r="N806" s="210"/>
      <c r="O806" s="196"/>
    </row>
    <row r="807" spans="1:15" s="212" customFormat="1" ht="15.75">
      <c r="A807" s="209" t="str">
        <f ca="1">IF(ISNA(VLOOKUP(D807,'Standard Smelter Names'!$B$3:$E$165,4,FALSE)),"",VLOOKUP(D807,'Standard Smelter Names'!$B$3:$E$165,4,FALSE))</f>
        <v/>
      </c>
      <c r="B807" s="210"/>
      <c r="C807" s="211"/>
      <c r="D807" s="211" t="str">
        <f t="shared" si="24"/>
        <v/>
      </c>
      <c r="E807" s="210" t="str">
        <f t="shared" si="25"/>
        <v/>
      </c>
      <c r="F807" s="210"/>
      <c r="G807" s="210"/>
      <c r="H807" s="210"/>
      <c r="I807" s="210"/>
      <c r="J807" s="210"/>
      <c r="K807" s="210"/>
      <c r="L807" s="210"/>
      <c r="M807" s="210"/>
      <c r="N807" s="210"/>
      <c r="O807" s="196"/>
    </row>
    <row r="808" spans="1:15" s="212" customFormat="1" ht="15.75">
      <c r="A808" s="209" t="str">
        <f ca="1">IF(ISNA(VLOOKUP(D808,'Standard Smelter Names'!$B$3:$E$165,4,FALSE)),"",VLOOKUP(D808,'Standard Smelter Names'!$B$3:$E$165,4,FALSE))</f>
        <v/>
      </c>
      <c r="B808" s="210"/>
      <c r="C808" s="211"/>
      <c r="D808" s="211" t="str">
        <f t="shared" si="24"/>
        <v/>
      </c>
      <c r="E808" s="210" t="str">
        <f t="shared" si="25"/>
        <v/>
      </c>
      <c r="F808" s="210"/>
      <c r="G808" s="210"/>
      <c r="H808" s="210"/>
      <c r="I808" s="210"/>
      <c r="J808" s="210"/>
      <c r="K808" s="210"/>
      <c r="L808" s="210"/>
      <c r="M808" s="210"/>
      <c r="N808" s="210"/>
      <c r="O808" s="196"/>
    </row>
    <row r="809" spans="1:15" s="212" customFormat="1" ht="15.75">
      <c r="A809" s="209" t="str">
        <f ca="1">IF(ISNA(VLOOKUP(D809,'Standard Smelter Names'!$B$3:$E$165,4,FALSE)),"",VLOOKUP(D809,'Standard Smelter Names'!$B$3:$E$165,4,FALSE))</f>
        <v/>
      </c>
      <c r="B809" s="210"/>
      <c r="C809" s="211"/>
      <c r="D809" s="211" t="str">
        <f t="shared" si="24"/>
        <v/>
      </c>
      <c r="E809" s="210" t="str">
        <f t="shared" si="25"/>
        <v/>
      </c>
      <c r="F809" s="210"/>
      <c r="G809" s="210"/>
      <c r="H809" s="210"/>
      <c r="I809" s="210"/>
      <c r="J809" s="210"/>
      <c r="K809" s="210"/>
      <c r="L809" s="210"/>
      <c r="M809" s="210"/>
      <c r="N809" s="210"/>
      <c r="O809" s="196"/>
    </row>
    <row r="810" spans="1:15" s="212" customFormat="1" ht="15.75">
      <c r="A810" s="209" t="str">
        <f ca="1">IF(ISNA(VLOOKUP(D810,'Standard Smelter Names'!$B$3:$E$165,4,FALSE)),"",VLOOKUP(D810,'Standard Smelter Names'!$B$3:$E$165,4,FALSE))</f>
        <v/>
      </c>
      <c r="B810" s="210"/>
      <c r="C810" s="211"/>
      <c r="D810" s="211" t="str">
        <f t="shared" si="24"/>
        <v/>
      </c>
      <c r="E810" s="210" t="str">
        <f t="shared" si="25"/>
        <v/>
      </c>
      <c r="F810" s="210"/>
      <c r="G810" s="210"/>
      <c r="H810" s="210"/>
      <c r="I810" s="210"/>
      <c r="J810" s="210"/>
      <c r="K810" s="210"/>
      <c r="L810" s="210"/>
      <c r="M810" s="210"/>
      <c r="N810" s="210"/>
      <c r="O810" s="196"/>
    </row>
    <row r="811" spans="1:15" s="212" customFormat="1" ht="15.75">
      <c r="A811" s="209" t="str">
        <f ca="1">IF(ISNA(VLOOKUP(D811,'Standard Smelter Names'!$B$3:$E$165,4,FALSE)),"",VLOOKUP(D811,'Standard Smelter Names'!$B$3:$E$165,4,FALSE))</f>
        <v/>
      </c>
      <c r="B811" s="210"/>
      <c r="C811" s="211"/>
      <c r="D811" s="211" t="str">
        <f t="shared" si="24"/>
        <v/>
      </c>
      <c r="E811" s="210" t="str">
        <f t="shared" si="25"/>
        <v/>
      </c>
      <c r="F811" s="210"/>
      <c r="G811" s="210"/>
      <c r="H811" s="210"/>
      <c r="I811" s="210"/>
      <c r="J811" s="210"/>
      <c r="K811" s="210"/>
      <c r="L811" s="210"/>
      <c r="M811" s="210"/>
      <c r="N811" s="210"/>
      <c r="O811" s="196"/>
    </row>
    <row r="812" spans="1:15" s="212" customFormat="1" ht="15.75">
      <c r="A812" s="209" t="str">
        <f ca="1">IF(ISNA(VLOOKUP(D812,'Standard Smelter Names'!$B$3:$E$165,4,FALSE)),"",VLOOKUP(D812,'Standard Smelter Names'!$B$3:$E$165,4,FALSE))</f>
        <v/>
      </c>
      <c r="B812" s="210"/>
      <c r="C812" s="211"/>
      <c r="D812" s="211" t="str">
        <f t="shared" si="24"/>
        <v/>
      </c>
      <c r="E812" s="210" t="str">
        <f t="shared" si="25"/>
        <v/>
      </c>
      <c r="F812" s="210"/>
      <c r="G812" s="210"/>
      <c r="H812" s="210"/>
      <c r="I812" s="210"/>
      <c r="J812" s="210"/>
      <c r="K812" s="210"/>
      <c r="L812" s="210"/>
      <c r="M812" s="210"/>
      <c r="N812" s="210"/>
      <c r="O812" s="196"/>
    </row>
    <row r="813" spans="1:15" s="212" customFormat="1" ht="15.75">
      <c r="A813" s="209" t="str">
        <f ca="1">IF(ISNA(VLOOKUP(D813,'Standard Smelter Names'!$B$3:$E$165,4,FALSE)),"",VLOOKUP(D813,'Standard Smelter Names'!$B$3:$E$165,4,FALSE))</f>
        <v/>
      </c>
      <c r="B813" s="210"/>
      <c r="C813" s="211"/>
      <c r="D813" s="211" t="str">
        <f t="shared" si="24"/>
        <v/>
      </c>
      <c r="E813" s="210" t="str">
        <f t="shared" si="25"/>
        <v/>
      </c>
      <c r="F813" s="210"/>
      <c r="G813" s="210"/>
      <c r="H813" s="210"/>
      <c r="I813" s="210"/>
      <c r="J813" s="210"/>
      <c r="K813" s="210"/>
      <c r="L813" s="210"/>
      <c r="M813" s="210"/>
      <c r="N813" s="210"/>
      <c r="O813" s="196"/>
    </row>
    <row r="814" spans="1:15" s="212" customFormat="1" ht="15.75">
      <c r="A814" s="209" t="str">
        <f ca="1">IF(ISNA(VLOOKUP(D814,'Standard Smelter Names'!$B$3:$E$165,4,FALSE)),"",VLOOKUP(D814,'Standard Smelter Names'!$B$3:$E$165,4,FALSE))</f>
        <v/>
      </c>
      <c r="B814" s="210"/>
      <c r="C814" s="211"/>
      <c r="D814" s="211" t="str">
        <f t="shared" si="24"/>
        <v/>
      </c>
      <c r="E814" s="210" t="str">
        <f t="shared" si="25"/>
        <v/>
      </c>
      <c r="F814" s="210"/>
      <c r="G814" s="210"/>
      <c r="H814" s="210"/>
      <c r="I814" s="210"/>
      <c r="J814" s="210"/>
      <c r="K814" s="210"/>
      <c r="L814" s="210"/>
      <c r="M814" s="210"/>
      <c r="N814" s="210"/>
      <c r="O814" s="196"/>
    </row>
    <row r="815" spans="1:15" s="212" customFormat="1" ht="15.75">
      <c r="A815" s="209" t="str">
        <f ca="1">IF(ISNA(VLOOKUP(D815,'Standard Smelter Names'!$B$3:$E$165,4,FALSE)),"",VLOOKUP(D815,'Standard Smelter Names'!$B$3:$E$165,4,FALSE))</f>
        <v/>
      </c>
      <c r="B815" s="210"/>
      <c r="C815" s="211"/>
      <c r="D815" s="211" t="str">
        <f t="shared" si="24"/>
        <v/>
      </c>
      <c r="E815" s="210" t="str">
        <f t="shared" si="25"/>
        <v/>
      </c>
      <c r="F815" s="210"/>
      <c r="G815" s="210"/>
      <c r="H815" s="210"/>
      <c r="I815" s="210"/>
      <c r="J815" s="210"/>
      <c r="K815" s="210"/>
      <c r="L815" s="210"/>
      <c r="M815" s="210"/>
      <c r="N815" s="210"/>
      <c r="O815" s="196"/>
    </row>
    <row r="816" spans="1:15" s="212" customFormat="1" ht="15.75">
      <c r="A816" s="209" t="str">
        <f ca="1">IF(ISNA(VLOOKUP(D816,'Standard Smelter Names'!$B$3:$E$165,4,FALSE)),"",VLOOKUP(D816,'Standard Smelter Names'!$B$3:$E$165,4,FALSE))</f>
        <v/>
      </c>
      <c r="B816" s="210"/>
      <c r="C816" s="211"/>
      <c r="D816" s="211" t="str">
        <f t="shared" si="24"/>
        <v/>
      </c>
      <c r="E816" s="210" t="str">
        <f t="shared" si="25"/>
        <v/>
      </c>
      <c r="F816" s="210"/>
      <c r="G816" s="210"/>
      <c r="H816" s="210"/>
      <c r="I816" s="210"/>
      <c r="J816" s="210"/>
      <c r="K816" s="210"/>
      <c r="L816" s="210"/>
      <c r="M816" s="210"/>
      <c r="N816" s="210"/>
      <c r="O816" s="196"/>
    </row>
    <row r="817" spans="1:15" s="212" customFormat="1" ht="15.75">
      <c r="A817" s="209" t="str">
        <f ca="1">IF(ISNA(VLOOKUP(D817,'Standard Smelter Names'!$B$3:$E$165,4,FALSE)),"",VLOOKUP(D817,'Standard Smelter Names'!$B$3:$E$165,4,FALSE))</f>
        <v/>
      </c>
      <c r="B817" s="210"/>
      <c r="C817" s="211"/>
      <c r="D817" s="211" t="str">
        <f t="shared" si="24"/>
        <v/>
      </c>
      <c r="E817" s="210" t="str">
        <f t="shared" si="25"/>
        <v/>
      </c>
      <c r="F817" s="210"/>
      <c r="G817" s="210"/>
      <c r="H817" s="210"/>
      <c r="I817" s="210"/>
      <c r="J817" s="210"/>
      <c r="K817" s="210"/>
      <c r="L817" s="210"/>
      <c r="M817" s="210"/>
      <c r="N817" s="210"/>
      <c r="O817" s="196"/>
    </row>
    <row r="818" spans="1:15" s="212" customFormat="1" ht="15.75">
      <c r="A818" s="209" t="str">
        <f ca="1">IF(ISNA(VLOOKUP(D818,'Standard Smelter Names'!$B$3:$E$165,4,FALSE)),"",VLOOKUP(D818,'Standard Smelter Names'!$B$3:$E$165,4,FALSE))</f>
        <v/>
      </c>
      <c r="B818" s="210"/>
      <c r="C818" s="211"/>
      <c r="D818" s="211" t="str">
        <f t="shared" si="24"/>
        <v/>
      </c>
      <c r="E818" s="210" t="str">
        <f t="shared" si="25"/>
        <v/>
      </c>
      <c r="F818" s="210"/>
      <c r="G818" s="210"/>
      <c r="H818" s="210"/>
      <c r="I818" s="210"/>
      <c r="J818" s="210"/>
      <c r="K818" s="210"/>
      <c r="L818" s="210"/>
      <c r="M818" s="210"/>
      <c r="N818" s="210"/>
      <c r="O818" s="196"/>
    </row>
    <row r="819" spans="1:15" s="212" customFormat="1" ht="15.75">
      <c r="A819" s="209" t="str">
        <f ca="1">IF(ISNA(VLOOKUP(D819,'Standard Smelter Names'!$B$3:$E$165,4,FALSE)),"",VLOOKUP(D819,'Standard Smelter Names'!$B$3:$E$165,4,FALSE))</f>
        <v/>
      </c>
      <c r="B819" s="210"/>
      <c r="C819" s="211"/>
      <c r="D819" s="211" t="str">
        <f t="shared" si="24"/>
        <v/>
      </c>
      <c r="E819" s="210" t="str">
        <f t="shared" si="25"/>
        <v/>
      </c>
      <c r="F819" s="210"/>
      <c r="G819" s="210"/>
      <c r="H819" s="210"/>
      <c r="I819" s="210"/>
      <c r="J819" s="210"/>
      <c r="K819" s="210"/>
      <c r="L819" s="210"/>
      <c r="M819" s="210"/>
      <c r="N819" s="210"/>
      <c r="O819" s="196"/>
    </row>
    <row r="820" spans="1:15" s="212" customFormat="1" ht="15.75">
      <c r="A820" s="209" t="str">
        <f ca="1">IF(ISNA(VLOOKUP(D820,'Standard Smelter Names'!$B$3:$E$165,4,FALSE)),"",VLOOKUP(D820,'Standard Smelter Names'!$B$3:$E$165,4,FALSE))</f>
        <v/>
      </c>
      <c r="B820" s="210"/>
      <c r="C820" s="211"/>
      <c r="D820" s="211" t="str">
        <f t="shared" si="24"/>
        <v/>
      </c>
      <c r="E820" s="210" t="str">
        <f t="shared" si="25"/>
        <v/>
      </c>
      <c r="F820" s="210"/>
      <c r="G820" s="210"/>
      <c r="H820" s="210"/>
      <c r="I820" s="210"/>
      <c r="J820" s="210"/>
      <c r="K820" s="210"/>
      <c r="L820" s="210"/>
      <c r="M820" s="210"/>
      <c r="N820" s="210"/>
      <c r="O820" s="196"/>
    </row>
    <row r="821" spans="1:15" s="212" customFormat="1" ht="15.75">
      <c r="A821" s="209" t="str">
        <f ca="1">IF(ISNA(VLOOKUP(D821,'Standard Smelter Names'!$B$3:$E$165,4,FALSE)),"",VLOOKUP(D821,'Standard Smelter Names'!$B$3:$E$165,4,FALSE))</f>
        <v/>
      </c>
      <c r="B821" s="210"/>
      <c r="C821" s="211"/>
      <c r="D821" s="211" t="str">
        <f t="shared" si="24"/>
        <v/>
      </c>
      <c r="E821" s="210" t="str">
        <f t="shared" si="25"/>
        <v/>
      </c>
      <c r="F821" s="210"/>
      <c r="G821" s="210"/>
      <c r="H821" s="210"/>
      <c r="I821" s="210"/>
      <c r="J821" s="210"/>
      <c r="K821" s="210"/>
      <c r="L821" s="210"/>
      <c r="M821" s="210"/>
      <c r="N821" s="210"/>
      <c r="O821" s="196"/>
    </row>
    <row r="822" spans="1:15" s="212" customFormat="1" ht="15.75">
      <c r="A822" s="209" t="str">
        <f ca="1">IF(ISNA(VLOOKUP(D822,'Standard Smelter Names'!$B$3:$E$165,4,FALSE)),"",VLOOKUP(D822,'Standard Smelter Names'!$B$3:$E$165,4,FALSE))</f>
        <v/>
      </c>
      <c r="B822" s="210"/>
      <c r="C822" s="211"/>
      <c r="D822" s="211" t="str">
        <f t="shared" si="24"/>
        <v/>
      </c>
      <c r="E822" s="210" t="str">
        <f t="shared" si="25"/>
        <v/>
      </c>
      <c r="F822" s="210"/>
      <c r="G822" s="210"/>
      <c r="H822" s="210"/>
      <c r="I822" s="210"/>
      <c r="J822" s="210"/>
      <c r="K822" s="210"/>
      <c r="L822" s="210"/>
      <c r="M822" s="210"/>
      <c r="N822" s="210"/>
      <c r="O822" s="196"/>
    </row>
    <row r="823" spans="1:15" s="212" customFormat="1" ht="15.75">
      <c r="A823" s="209" t="str">
        <f ca="1">IF(ISNA(VLOOKUP(D823,'Standard Smelter Names'!$B$3:$E$165,4,FALSE)),"",VLOOKUP(D823,'Standard Smelter Names'!$B$3:$E$165,4,FALSE))</f>
        <v/>
      </c>
      <c r="B823" s="210"/>
      <c r="C823" s="211"/>
      <c r="D823" s="211" t="str">
        <f t="shared" si="24"/>
        <v/>
      </c>
      <c r="E823" s="210" t="str">
        <f t="shared" si="25"/>
        <v/>
      </c>
      <c r="F823" s="210"/>
      <c r="G823" s="210"/>
      <c r="H823" s="210"/>
      <c r="I823" s="210"/>
      <c r="J823" s="210"/>
      <c r="K823" s="210"/>
      <c r="L823" s="210"/>
      <c r="M823" s="210"/>
      <c r="N823" s="210"/>
      <c r="O823" s="196"/>
    </row>
    <row r="824" spans="1:15" s="212" customFormat="1" ht="15.75">
      <c r="A824" s="209" t="str">
        <f ca="1">IF(ISNA(VLOOKUP(D824,'Standard Smelter Names'!$B$3:$E$165,4,FALSE)),"",VLOOKUP(D824,'Standard Smelter Names'!$B$3:$E$165,4,FALSE))</f>
        <v/>
      </c>
      <c r="B824" s="210"/>
      <c r="C824" s="211"/>
      <c r="D824" s="211" t="str">
        <f t="shared" si="24"/>
        <v/>
      </c>
      <c r="E824" s="210" t="str">
        <f t="shared" si="25"/>
        <v/>
      </c>
      <c r="F824" s="210"/>
      <c r="G824" s="210"/>
      <c r="H824" s="210"/>
      <c r="I824" s="210"/>
      <c r="J824" s="210"/>
      <c r="K824" s="210"/>
      <c r="L824" s="210"/>
      <c r="M824" s="210"/>
      <c r="N824" s="210"/>
      <c r="O824" s="196"/>
    </row>
    <row r="825" spans="1:15" s="212" customFormat="1" ht="15.75">
      <c r="A825" s="209" t="str">
        <f ca="1">IF(ISNA(VLOOKUP(D825,'Standard Smelter Names'!$B$3:$E$165,4,FALSE)),"",VLOOKUP(D825,'Standard Smelter Names'!$B$3:$E$165,4,FALSE))</f>
        <v/>
      </c>
      <c r="B825" s="210"/>
      <c r="C825" s="211"/>
      <c r="D825" s="211" t="str">
        <f t="shared" si="24"/>
        <v/>
      </c>
      <c r="E825" s="210" t="str">
        <f t="shared" si="25"/>
        <v/>
      </c>
      <c r="F825" s="210"/>
      <c r="G825" s="210"/>
      <c r="H825" s="210"/>
      <c r="I825" s="210"/>
      <c r="J825" s="210"/>
      <c r="K825" s="210"/>
      <c r="L825" s="210"/>
      <c r="M825" s="210"/>
      <c r="N825" s="210"/>
      <c r="O825" s="196"/>
    </row>
    <row r="826" spans="1:15" s="212" customFormat="1" ht="15.75">
      <c r="A826" s="209" t="str">
        <f ca="1">IF(ISNA(VLOOKUP(D826,'Standard Smelter Names'!$B$3:$E$165,4,FALSE)),"",VLOOKUP(D826,'Standard Smelter Names'!$B$3:$E$165,4,FALSE))</f>
        <v/>
      </c>
      <c r="B826" s="210"/>
      <c r="C826" s="211"/>
      <c r="D826" s="211" t="str">
        <f t="shared" si="24"/>
        <v/>
      </c>
      <c r="E826" s="210" t="str">
        <f t="shared" si="25"/>
        <v/>
      </c>
      <c r="F826" s="210"/>
      <c r="G826" s="210"/>
      <c r="H826" s="210"/>
      <c r="I826" s="210"/>
      <c r="J826" s="210"/>
      <c r="K826" s="210"/>
      <c r="L826" s="210"/>
      <c r="M826" s="210"/>
      <c r="N826" s="210"/>
      <c r="O826" s="196"/>
    </row>
    <row r="827" spans="1:15" s="212" customFormat="1" ht="15.75">
      <c r="A827" s="209" t="str">
        <f ca="1">IF(ISNA(VLOOKUP(D827,'Standard Smelter Names'!$B$3:$E$165,4,FALSE)),"",VLOOKUP(D827,'Standard Smelter Names'!$B$3:$E$165,4,FALSE))</f>
        <v/>
      </c>
      <c r="B827" s="210"/>
      <c r="C827" s="211"/>
      <c r="D827" s="211" t="str">
        <f t="shared" si="24"/>
        <v/>
      </c>
      <c r="E827" s="210" t="str">
        <f t="shared" si="25"/>
        <v/>
      </c>
      <c r="F827" s="210"/>
      <c r="G827" s="210"/>
      <c r="H827" s="210"/>
      <c r="I827" s="210"/>
      <c r="J827" s="210"/>
      <c r="K827" s="210"/>
      <c r="L827" s="210"/>
      <c r="M827" s="210"/>
      <c r="N827" s="210"/>
      <c r="O827" s="196"/>
    </row>
    <row r="828" spans="1:15" s="212" customFormat="1" ht="15.75">
      <c r="A828" s="209" t="str">
        <f ca="1">IF(ISNA(VLOOKUP(D828,'Standard Smelter Names'!$B$3:$E$165,4,FALSE)),"",VLOOKUP(D828,'Standard Smelter Names'!$B$3:$E$165,4,FALSE))</f>
        <v/>
      </c>
      <c r="B828" s="210"/>
      <c r="C828" s="211"/>
      <c r="D828" s="211" t="str">
        <f t="shared" si="24"/>
        <v/>
      </c>
      <c r="E828" s="210" t="str">
        <f t="shared" si="25"/>
        <v/>
      </c>
      <c r="F828" s="210"/>
      <c r="G828" s="210"/>
      <c r="H828" s="210"/>
      <c r="I828" s="210"/>
      <c r="J828" s="210"/>
      <c r="K828" s="210"/>
      <c r="L828" s="210"/>
      <c r="M828" s="210"/>
      <c r="N828" s="210"/>
      <c r="O828" s="196"/>
    </row>
    <row r="829" spans="1:15" s="212" customFormat="1" ht="15.75">
      <c r="A829" s="209" t="str">
        <f ca="1">IF(ISNA(VLOOKUP(D829,'Standard Smelter Names'!$B$3:$E$165,4,FALSE)),"",VLOOKUP(D829,'Standard Smelter Names'!$B$3:$E$165,4,FALSE))</f>
        <v/>
      </c>
      <c r="B829" s="210"/>
      <c r="C829" s="211"/>
      <c r="D829" s="211" t="str">
        <f t="shared" si="24"/>
        <v/>
      </c>
      <c r="E829" s="210" t="str">
        <f t="shared" si="25"/>
        <v/>
      </c>
      <c r="F829" s="210"/>
      <c r="G829" s="210"/>
      <c r="H829" s="210"/>
      <c r="I829" s="210"/>
      <c r="J829" s="210"/>
      <c r="K829" s="210"/>
      <c r="L829" s="210"/>
      <c r="M829" s="210"/>
      <c r="N829" s="210"/>
      <c r="O829" s="196"/>
    </row>
    <row r="830" spans="1:15" s="212" customFormat="1" ht="15.75">
      <c r="A830" s="209" t="str">
        <f ca="1">IF(ISNA(VLOOKUP(D830,'Standard Smelter Names'!$B$3:$E$165,4,FALSE)),"",VLOOKUP(D830,'Standard Smelter Names'!$B$3:$E$165,4,FALSE))</f>
        <v/>
      </c>
      <c r="B830" s="210"/>
      <c r="C830" s="211"/>
      <c r="D830" s="211" t="str">
        <f t="shared" si="24"/>
        <v/>
      </c>
      <c r="E830" s="210" t="str">
        <f t="shared" si="25"/>
        <v/>
      </c>
      <c r="F830" s="210"/>
      <c r="G830" s="210"/>
      <c r="H830" s="210"/>
      <c r="I830" s="210"/>
      <c r="J830" s="210"/>
      <c r="K830" s="210"/>
      <c r="L830" s="210"/>
      <c r="M830" s="210"/>
      <c r="N830" s="210"/>
      <c r="O830" s="196"/>
    </row>
    <row r="831" spans="1:15" s="212" customFormat="1" ht="15.75">
      <c r="A831" s="209" t="str">
        <f ca="1">IF(ISNA(VLOOKUP(D831,'Standard Smelter Names'!$B$3:$E$165,4,FALSE)),"",VLOOKUP(D831,'Standard Smelter Names'!$B$3:$E$165,4,FALSE))</f>
        <v/>
      </c>
      <c r="B831" s="210"/>
      <c r="C831" s="211"/>
      <c r="D831" s="211" t="str">
        <f t="shared" si="24"/>
        <v/>
      </c>
      <c r="E831" s="210" t="str">
        <f t="shared" si="25"/>
        <v/>
      </c>
      <c r="F831" s="210"/>
      <c r="G831" s="210"/>
      <c r="H831" s="210"/>
      <c r="I831" s="210"/>
      <c r="J831" s="210"/>
      <c r="K831" s="210"/>
      <c r="L831" s="210"/>
      <c r="M831" s="210"/>
      <c r="N831" s="210"/>
      <c r="O831" s="196"/>
    </row>
    <row r="832" spans="1:15" s="212" customFormat="1" ht="15.75">
      <c r="A832" s="209" t="str">
        <f ca="1">IF(ISNA(VLOOKUP(D832,'Standard Smelter Names'!$B$3:$E$165,4,FALSE)),"",VLOOKUP(D832,'Standard Smelter Names'!$B$3:$E$165,4,FALSE))</f>
        <v/>
      </c>
      <c r="B832" s="210"/>
      <c r="C832" s="211"/>
      <c r="D832" s="211" t="str">
        <f t="shared" si="24"/>
        <v/>
      </c>
      <c r="E832" s="210" t="str">
        <f t="shared" si="25"/>
        <v/>
      </c>
      <c r="F832" s="210"/>
      <c r="G832" s="210"/>
      <c r="H832" s="210"/>
      <c r="I832" s="210"/>
      <c r="J832" s="210"/>
      <c r="K832" s="210"/>
      <c r="L832" s="210"/>
      <c r="M832" s="210"/>
      <c r="N832" s="210"/>
      <c r="O832" s="196"/>
    </row>
    <row r="833" spans="1:15" s="212" customFormat="1" ht="15.75">
      <c r="A833" s="209" t="str">
        <f ca="1">IF(ISNA(VLOOKUP(D833,'Standard Smelter Names'!$B$3:$E$165,4,FALSE)),"",VLOOKUP(D833,'Standard Smelter Names'!$B$3:$E$165,4,FALSE))</f>
        <v/>
      </c>
      <c r="B833" s="210"/>
      <c r="C833" s="211"/>
      <c r="D833" s="211" t="str">
        <f t="shared" si="24"/>
        <v/>
      </c>
      <c r="E833" s="210" t="str">
        <f t="shared" si="25"/>
        <v/>
      </c>
      <c r="F833" s="210"/>
      <c r="G833" s="210"/>
      <c r="H833" s="210"/>
      <c r="I833" s="210"/>
      <c r="J833" s="210"/>
      <c r="K833" s="210"/>
      <c r="L833" s="210"/>
      <c r="M833" s="210"/>
      <c r="N833" s="210"/>
      <c r="O833" s="196"/>
    </row>
    <row r="834" spans="1:15" s="212" customFormat="1" ht="15.75">
      <c r="A834" s="209" t="str">
        <f ca="1">IF(ISNA(VLOOKUP(D834,'Standard Smelter Names'!$B$3:$E$165,4,FALSE)),"",VLOOKUP(D834,'Standard Smelter Names'!$B$3:$E$165,4,FALSE))</f>
        <v/>
      </c>
      <c r="B834" s="210"/>
      <c r="C834" s="211"/>
      <c r="D834" s="211" t="str">
        <f t="shared" si="24"/>
        <v/>
      </c>
      <c r="E834" s="210" t="str">
        <f t="shared" si="25"/>
        <v/>
      </c>
      <c r="F834" s="210"/>
      <c r="G834" s="210"/>
      <c r="H834" s="210"/>
      <c r="I834" s="210"/>
      <c r="J834" s="210"/>
      <c r="K834" s="210"/>
      <c r="L834" s="210"/>
      <c r="M834" s="210"/>
      <c r="N834" s="210"/>
      <c r="O834" s="196"/>
    </row>
    <row r="835" spans="1:15" s="212" customFormat="1" ht="15.75">
      <c r="A835" s="209" t="str">
        <f ca="1">IF(ISNA(VLOOKUP(D835,'Standard Smelter Names'!$B$3:$E$165,4,FALSE)),"",VLOOKUP(D835,'Standard Smelter Names'!$B$3:$E$165,4,FALSE))</f>
        <v/>
      </c>
      <c r="B835" s="210"/>
      <c r="C835" s="211"/>
      <c r="D835" s="211" t="str">
        <f t="shared" si="24"/>
        <v/>
      </c>
      <c r="E835" s="210" t="str">
        <f t="shared" si="25"/>
        <v/>
      </c>
      <c r="F835" s="210"/>
      <c r="G835" s="210"/>
      <c r="H835" s="210"/>
      <c r="I835" s="210"/>
      <c r="J835" s="210"/>
      <c r="K835" s="210"/>
      <c r="L835" s="210"/>
      <c r="M835" s="210"/>
      <c r="N835" s="210"/>
      <c r="O835" s="196"/>
    </row>
    <row r="836" spans="1:15" s="212" customFormat="1" ht="15.75">
      <c r="A836" s="209" t="str">
        <f ca="1">IF(ISNA(VLOOKUP(D836,'Standard Smelter Names'!$B$3:$E$165,4,FALSE)),"",VLOOKUP(D836,'Standard Smelter Names'!$B$3:$E$165,4,FALSE))</f>
        <v/>
      </c>
      <c r="B836" s="210"/>
      <c r="C836" s="211"/>
      <c r="D836" s="211" t="str">
        <f t="shared" si="24"/>
        <v/>
      </c>
      <c r="E836" s="210" t="str">
        <f t="shared" si="25"/>
        <v/>
      </c>
      <c r="F836" s="210"/>
      <c r="G836" s="210"/>
      <c r="H836" s="210"/>
      <c r="I836" s="210"/>
      <c r="J836" s="210"/>
      <c r="K836" s="210"/>
      <c r="L836" s="210"/>
      <c r="M836" s="210"/>
      <c r="N836" s="210"/>
      <c r="O836" s="196"/>
    </row>
    <row r="837" spans="1:15" s="212" customFormat="1" ht="15.75">
      <c r="A837" s="209" t="str">
        <f ca="1">IF(ISNA(VLOOKUP(D837,'Standard Smelter Names'!$B$3:$E$165,4,FALSE)),"",VLOOKUP(D837,'Standard Smelter Names'!$B$3:$E$165,4,FALSE))</f>
        <v/>
      </c>
      <c r="B837" s="210"/>
      <c r="C837" s="211"/>
      <c r="D837" s="211" t="str">
        <f t="shared" ref="D837:D900" si="26">IF(ISNA(VLOOKUP(C837,$G$1023:$I$1379,3,FALSE)),"",VLOOKUP(C837,$G$1023:$I$1379,3,FALSE))</f>
        <v/>
      </c>
      <c r="E837" s="210" t="str">
        <f t="shared" ref="E837:E900" si="27">IF(ISNA(VLOOKUP(C837,$G$1023:$I$1379,2,FALSE)),"",VLOOKUP(C837,$G$1023:$I$1379,2,FALSE))</f>
        <v/>
      </c>
      <c r="F837" s="210"/>
      <c r="G837" s="210"/>
      <c r="H837" s="210"/>
      <c r="I837" s="210"/>
      <c r="J837" s="210"/>
      <c r="K837" s="210"/>
      <c r="L837" s="210"/>
      <c r="M837" s="210"/>
      <c r="N837" s="210"/>
      <c r="O837" s="196"/>
    </row>
    <row r="838" spans="1:15" s="212" customFormat="1" ht="15.75">
      <c r="A838" s="209" t="str">
        <f ca="1">IF(ISNA(VLOOKUP(D838,'Standard Smelter Names'!$B$3:$E$165,4,FALSE)),"",VLOOKUP(D838,'Standard Smelter Names'!$B$3:$E$165,4,FALSE))</f>
        <v/>
      </c>
      <c r="B838" s="210"/>
      <c r="C838" s="211"/>
      <c r="D838" s="211" t="str">
        <f t="shared" si="26"/>
        <v/>
      </c>
      <c r="E838" s="210" t="str">
        <f t="shared" si="27"/>
        <v/>
      </c>
      <c r="F838" s="210"/>
      <c r="G838" s="210"/>
      <c r="H838" s="210"/>
      <c r="I838" s="210"/>
      <c r="J838" s="210"/>
      <c r="K838" s="210"/>
      <c r="L838" s="210"/>
      <c r="M838" s="210"/>
      <c r="N838" s="210"/>
      <c r="O838" s="196"/>
    </row>
    <row r="839" spans="1:15" s="212" customFormat="1" ht="15.75">
      <c r="A839" s="209" t="str">
        <f ca="1">IF(ISNA(VLOOKUP(D839,'Standard Smelter Names'!$B$3:$E$165,4,FALSE)),"",VLOOKUP(D839,'Standard Smelter Names'!$B$3:$E$165,4,FALSE))</f>
        <v/>
      </c>
      <c r="B839" s="210"/>
      <c r="C839" s="211"/>
      <c r="D839" s="211" t="str">
        <f t="shared" si="26"/>
        <v/>
      </c>
      <c r="E839" s="210" t="str">
        <f t="shared" si="27"/>
        <v/>
      </c>
      <c r="F839" s="210"/>
      <c r="G839" s="210"/>
      <c r="H839" s="210"/>
      <c r="I839" s="210"/>
      <c r="J839" s="210"/>
      <c r="K839" s="210"/>
      <c r="L839" s="210"/>
      <c r="M839" s="210"/>
      <c r="N839" s="210"/>
      <c r="O839" s="196"/>
    </row>
    <row r="840" spans="1:15" s="212" customFormat="1" ht="15.75">
      <c r="A840" s="209" t="str">
        <f ca="1">IF(ISNA(VLOOKUP(D840,'Standard Smelter Names'!$B$3:$E$165,4,FALSE)),"",VLOOKUP(D840,'Standard Smelter Names'!$B$3:$E$165,4,FALSE))</f>
        <v/>
      </c>
      <c r="B840" s="210"/>
      <c r="C840" s="211"/>
      <c r="D840" s="211" t="str">
        <f t="shared" si="26"/>
        <v/>
      </c>
      <c r="E840" s="210" t="str">
        <f t="shared" si="27"/>
        <v/>
      </c>
      <c r="F840" s="210"/>
      <c r="G840" s="210"/>
      <c r="H840" s="210"/>
      <c r="I840" s="210"/>
      <c r="J840" s="210"/>
      <c r="K840" s="210"/>
      <c r="L840" s="210"/>
      <c r="M840" s="210"/>
      <c r="N840" s="210"/>
      <c r="O840" s="196"/>
    </row>
    <row r="841" spans="1:15" s="212" customFormat="1" ht="15.75">
      <c r="A841" s="209" t="str">
        <f ca="1">IF(ISNA(VLOOKUP(D841,'Standard Smelter Names'!$B$3:$E$165,4,FALSE)),"",VLOOKUP(D841,'Standard Smelter Names'!$B$3:$E$165,4,FALSE))</f>
        <v/>
      </c>
      <c r="B841" s="210"/>
      <c r="C841" s="211"/>
      <c r="D841" s="211" t="str">
        <f t="shared" si="26"/>
        <v/>
      </c>
      <c r="E841" s="210" t="str">
        <f t="shared" si="27"/>
        <v/>
      </c>
      <c r="F841" s="210"/>
      <c r="G841" s="210"/>
      <c r="H841" s="210"/>
      <c r="I841" s="210"/>
      <c r="J841" s="210"/>
      <c r="K841" s="210"/>
      <c r="L841" s="210"/>
      <c r="M841" s="210"/>
      <c r="N841" s="210"/>
      <c r="O841" s="196"/>
    </row>
    <row r="842" spans="1:15" s="212" customFormat="1" ht="15.75">
      <c r="A842" s="209" t="str">
        <f ca="1">IF(ISNA(VLOOKUP(D842,'Standard Smelter Names'!$B$3:$E$165,4,FALSE)),"",VLOOKUP(D842,'Standard Smelter Names'!$B$3:$E$165,4,FALSE))</f>
        <v/>
      </c>
      <c r="B842" s="210"/>
      <c r="C842" s="211"/>
      <c r="D842" s="211" t="str">
        <f t="shared" si="26"/>
        <v/>
      </c>
      <c r="E842" s="210" t="str">
        <f t="shared" si="27"/>
        <v/>
      </c>
      <c r="F842" s="210"/>
      <c r="G842" s="210"/>
      <c r="H842" s="210"/>
      <c r="I842" s="210"/>
      <c r="J842" s="210"/>
      <c r="K842" s="210"/>
      <c r="L842" s="210"/>
      <c r="M842" s="210"/>
      <c r="N842" s="210"/>
      <c r="O842" s="196"/>
    </row>
    <row r="843" spans="1:15" s="212" customFormat="1" ht="15.75">
      <c r="A843" s="209" t="str">
        <f ca="1">IF(ISNA(VLOOKUP(D843,'Standard Smelter Names'!$B$3:$E$165,4,FALSE)),"",VLOOKUP(D843,'Standard Smelter Names'!$B$3:$E$165,4,FALSE))</f>
        <v/>
      </c>
      <c r="B843" s="210"/>
      <c r="C843" s="211"/>
      <c r="D843" s="211" t="str">
        <f t="shared" si="26"/>
        <v/>
      </c>
      <c r="E843" s="210" t="str">
        <f t="shared" si="27"/>
        <v/>
      </c>
      <c r="F843" s="210"/>
      <c r="G843" s="210"/>
      <c r="H843" s="210"/>
      <c r="I843" s="210"/>
      <c r="J843" s="210"/>
      <c r="K843" s="210"/>
      <c r="L843" s="210"/>
      <c r="M843" s="210"/>
      <c r="N843" s="210"/>
      <c r="O843" s="196"/>
    </row>
    <row r="844" spans="1:15" s="212" customFormat="1" ht="15.75">
      <c r="A844" s="209" t="str">
        <f ca="1">IF(ISNA(VLOOKUP(D844,'Standard Smelter Names'!$B$3:$E$165,4,FALSE)),"",VLOOKUP(D844,'Standard Smelter Names'!$B$3:$E$165,4,FALSE))</f>
        <v/>
      </c>
      <c r="B844" s="210"/>
      <c r="C844" s="211"/>
      <c r="D844" s="211" t="str">
        <f t="shared" si="26"/>
        <v/>
      </c>
      <c r="E844" s="210" t="str">
        <f t="shared" si="27"/>
        <v/>
      </c>
      <c r="F844" s="210"/>
      <c r="G844" s="210"/>
      <c r="H844" s="210"/>
      <c r="I844" s="210"/>
      <c r="J844" s="210"/>
      <c r="K844" s="210"/>
      <c r="L844" s="210"/>
      <c r="M844" s="210"/>
      <c r="N844" s="210"/>
      <c r="O844" s="196"/>
    </row>
    <row r="845" spans="1:15" s="212" customFormat="1" ht="15.75">
      <c r="A845" s="209" t="str">
        <f ca="1">IF(ISNA(VLOOKUP(D845,'Standard Smelter Names'!$B$3:$E$165,4,FALSE)),"",VLOOKUP(D845,'Standard Smelter Names'!$B$3:$E$165,4,FALSE))</f>
        <v/>
      </c>
      <c r="B845" s="210"/>
      <c r="C845" s="211"/>
      <c r="D845" s="211" t="str">
        <f t="shared" si="26"/>
        <v/>
      </c>
      <c r="E845" s="210" t="str">
        <f t="shared" si="27"/>
        <v/>
      </c>
      <c r="F845" s="210"/>
      <c r="G845" s="210"/>
      <c r="H845" s="210"/>
      <c r="I845" s="210"/>
      <c r="J845" s="210"/>
      <c r="K845" s="210"/>
      <c r="L845" s="210"/>
      <c r="M845" s="210"/>
      <c r="N845" s="210"/>
      <c r="O845" s="196"/>
    </row>
    <row r="846" spans="1:15" s="212" customFormat="1" ht="15.75">
      <c r="A846" s="209" t="str">
        <f ca="1">IF(ISNA(VLOOKUP(D846,'Standard Smelter Names'!$B$3:$E$165,4,FALSE)),"",VLOOKUP(D846,'Standard Smelter Names'!$B$3:$E$165,4,FALSE))</f>
        <v/>
      </c>
      <c r="B846" s="210"/>
      <c r="C846" s="211"/>
      <c r="D846" s="211" t="str">
        <f t="shared" si="26"/>
        <v/>
      </c>
      <c r="E846" s="210" t="str">
        <f t="shared" si="27"/>
        <v/>
      </c>
      <c r="F846" s="210"/>
      <c r="G846" s="210"/>
      <c r="H846" s="210"/>
      <c r="I846" s="210"/>
      <c r="J846" s="210"/>
      <c r="K846" s="210"/>
      <c r="L846" s="210"/>
      <c r="M846" s="210"/>
      <c r="N846" s="210"/>
      <c r="O846" s="196"/>
    </row>
    <row r="847" spans="1:15" s="212" customFormat="1" ht="15.75">
      <c r="A847" s="209" t="str">
        <f ca="1">IF(ISNA(VLOOKUP(D847,'Standard Smelter Names'!$B$3:$E$165,4,FALSE)),"",VLOOKUP(D847,'Standard Smelter Names'!$B$3:$E$165,4,FALSE))</f>
        <v/>
      </c>
      <c r="B847" s="210"/>
      <c r="C847" s="211"/>
      <c r="D847" s="211" t="str">
        <f t="shared" si="26"/>
        <v/>
      </c>
      <c r="E847" s="210" t="str">
        <f t="shared" si="27"/>
        <v/>
      </c>
      <c r="F847" s="210"/>
      <c r="G847" s="210"/>
      <c r="H847" s="210"/>
      <c r="I847" s="210"/>
      <c r="J847" s="210"/>
      <c r="K847" s="210"/>
      <c r="L847" s="210"/>
      <c r="M847" s="210"/>
      <c r="N847" s="210"/>
      <c r="O847" s="196"/>
    </row>
    <row r="848" spans="1:15" s="212" customFormat="1" ht="15.75">
      <c r="A848" s="209" t="str">
        <f ca="1">IF(ISNA(VLOOKUP(D848,'Standard Smelter Names'!$B$3:$E$165,4,FALSE)),"",VLOOKUP(D848,'Standard Smelter Names'!$B$3:$E$165,4,FALSE))</f>
        <v/>
      </c>
      <c r="B848" s="210"/>
      <c r="C848" s="211"/>
      <c r="D848" s="211" t="str">
        <f t="shared" si="26"/>
        <v/>
      </c>
      <c r="E848" s="210" t="str">
        <f t="shared" si="27"/>
        <v/>
      </c>
      <c r="F848" s="210"/>
      <c r="G848" s="210"/>
      <c r="H848" s="210"/>
      <c r="I848" s="210"/>
      <c r="J848" s="210"/>
      <c r="K848" s="210"/>
      <c r="L848" s="210"/>
      <c r="M848" s="210"/>
      <c r="N848" s="210"/>
      <c r="O848" s="196"/>
    </row>
    <row r="849" spans="1:15" s="212" customFormat="1" ht="15.75">
      <c r="A849" s="209" t="str">
        <f ca="1">IF(ISNA(VLOOKUP(D849,'Standard Smelter Names'!$B$3:$E$165,4,FALSE)),"",VLOOKUP(D849,'Standard Smelter Names'!$B$3:$E$165,4,FALSE))</f>
        <v/>
      </c>
      <c r="B849" s="210"/>
      <c r="C849" s="211"/>
      <c r="D849" s="211" t="str">
        <f t="shared" si="26"/>
        <v/>
      </c>
      <c r="E849" s="210" t="str">
        <f t="shared" si="27"/>
        <v/>
      </c>
      <c r="F849" s="210"/>
      <c r="G849" s="210"/>
      <c r="H849" s="210"/>
      <c r="I849" s="210"/>
      <c r="J849" s="210"/>
      <c r="K849" s="210"/>
      <c r="L849" s="210"/>
      <c r="M849" s="210"/>
      <c r="N849" s="210"/>
      <c r="O849" s="196"/>
    </row>
    <row r="850" spans="1:15" s="212" customFormat="1" ht="15.75">
      <c r="A850" s="209" t="str">
        <f ca="1">IF(ISNA(VLOOKUP(D850,'Standard Smelter Names'!$B$3:$E$165,4,FALSE)),"",VLOOKUP(D850,'Standard Smelter Names'!$B$3:$E$165,4,FALSE))</f>
        <v/>
      </c>
      <c r="B850" s="210"/>
      <c r="C850" s="211"/>
      <c r="D850" s="211" t="str">
        <f t="shared" si="26"/>
        <v/>
      </c>
      <c r="E850" s="210" t="str">
        <f t="shared" si="27"/>
        <v/>
      </c>
      <c r="F850" s="210"/>
      <c r="G850" s="210"/>
      <c r="H850" s="210"/>
      <c r="I850" s="210"/>
      <c r="J850" s="210"/>
      <c r="K850" s="210"/>
      <c r="L850" s="210"/>
      <c r="M850" s="210"/>
      <c r="N850" s="210"/>
      <c r="O850" s="196"/>
    </row>
    <row r="851" spans="1:15" s="212" customFormat="1" ht="15.75">
      <c r="A851" s="209" t="str">
        <f ca="1">IF(ISNA(VLOOKUP(D851,'Standard Smelter Names'!$B$3:$E$165,4,FALSE)),"",VLOOKUP(D851,'Standard Smelter Names'!$B$3:$E$165,4,FALSE))</f>
        <v/>
      </c>
      <c r="B851" s="210"/>
      <c r="C851" s="211"/>
      <c r="D851" s="211" t="str">
        <f t="shared" si="26"/>
        <v/>
      </c>
      <c r="E851" s="210" t="str">
        <f t="shared" si="27"/>
        <v/>
      </c>
      <c r="F851" s="210"/>
      <c r="G851" s="210"/>
      <c r="H851" s="210"/>
      <c r="I851" s="210"/>
      <c r="J851" s="210"/>
      <c r="K851" s="210"/>
      <c r="L851" s="210"/>
      <c r="M851" s="210"/>
      <c r="N851" s="210"/>
      <c r="O851" s="196"/>
    </row>
    <row r="852" spans="1:15" s="212" customFormat="1" ht="15.75">
      <c r="A852" s="209" t="str">
        <f ca="1">IF(ISNA(VLOOKUP(D852,'Standard Smelter Names'!$B$3:$E$165,4,FALSE)),"",VLOOKUP(D852,'Standard Smelter Names'!$B$3:$E$165,4,FALSE))</f>
        <v/>
      </c>
      <c r="B852" s="210"/>
      <c r="C852" s="211"/>
      <c r="D852" s="211" t="str">
        <f t="shared" si="26"/>
        <v/>
      </c>
      <c r="E852" s="210" t="str">
        <f t="shared" si="27"/>
        <v/>
      </c>
      <c r="F852" s="210"/>
      <c r="G852" s="210"/>
      <c r="H852" s="210"/>
      <c r="I852" s="210"/>
      <c r="J852" s="210"/>
      <c r="K852" s="210"/>
      <c r="L852" s="210"/>
      <c r="M852" s="210"/>
      <c r="N852" s="210"/>
      <c r="O852" s="196"/>
    </row>
    <row r="853" spans="1:15" s="212" customFormat="1" ht="15.75">
      <c r="A853" s="209" t="str">
        <f ca="1">IF(ISNA(VLOOKUP(D853,'Standard Smelter Names'!$B$3:$E$165,4,FALSE)),"",VLOOKUP(D853,'Standard Smelter Names'!$B$3:$E$165,4,FALSE))</f>
        <v/>
      </c>
      <c r="B853" s="210"/>
      <c r="C853" s="211"/>
      <c r="D853" s="211" t="str">
        <f t="shared" si="26"/>
        <v/>
      </c>
      <c r="E853" s="210" t="str">
        <f t="shared" si="27"/>
        <v/>
      </c>
      <c r="F853" s="210"/>
      <c r="G853" s="210"/>
      <c r="H853" s="210"/>
      <c r="I853" s="210"/>
      <c r="J853" s="210"/>
      <c r="K853" s="210"/>
      <c r="L853" s="210"/>
      <c r="M853" s="210"/>
      <c r="N853" s="210"/>
      <c r="O853" s="196"/>
    </row>
    <row r="854" spans="1:15" s="212" customFormat="1" ht="15.75">
      <c r="A854" s="209" t="str">
        <f ca="1">IF(ISNA(VLOOKUP(D854,'Standard Smelter Names'!$B$3:$E$165,4,FALSE)),"",VLOOKUP(D854,'Standard Smelter Names'!$B$3:$E$165,4,FALSE))</f>
        <v/>
      </c>
      <c r="B854" s="210"/>
      <c r="C854" s="211"/>
      <c r="D854" s="211" t="str">
        <f t="shared" si="26"/>
        <v/>
      </c>
      <c r="E854" s="210" t="str">
        <f t="shared" si="27"/>
        <v/>
      </c>
      <c r="F854" s="210"/>
      <c r="G854" s="210"/>
      <c r="H854" s="210"/>
      <c r="I854" s="210"/>
      <c r="J854" s="210"/>
      <c r="K854" s="210"/>
      <c r="L854" s="210"/>
      <c r="M854" s="210"/>
      <c r="N854" s="210"/>
      <c r="O854" s="196"/>
    </row>
    <row r="855" spans="1:15" s="212" customFormat="1" ht="15.75">
      <c r="A855" s="209" t="str">
        <f ca="1">IF(ISNA(VLOOKUP(D855,'Standard Smelter Names'!$B$3:$E$165,4,FALSE)),"",VLOOKUP(D855,'Standard Smelter Names'!$B$3:$E$165,4,FALSE))</f>
        <v/>
      </c>
      <c r="B855" s="210"/>
      <c r="C855" s="211"/>
      <c r="D855" s="211" t="str">
        <f t="shared" si="26"/>
        <v/>
      </c>
      <c r="E855" s="210" t="str">
        <f t="shared" si="27"/>
        <v/>
      </c>
      <c r="F855" s="210"/>
      <c r="G855" s="210"/>
      <c r="H855" s="210"/>
      <c r="I855" s="210"/>
      <c r="J855" s="210"/>
      <c r="K855" s="210"/>
      <c r="L855" s="210"/>
      <c r="M855" s="210"/>
      <c r="N855" s="210"/>
      <c r="O855" s="196"/>
    </row>
    <row r="856" spans="1:15" s="212" customFormat="1" ht="15.75">
      <c r="A856" s="209" t="str">
        <f ca="1">IF(ISNA(VLOOKUP(D856,'Standard Smelter Names'!$B$3:$E$165,4,FALSE)),"",VLOOKUP(D856,'Standard Smelter Names'!$B$3:$E$165,4,FALSE))</f>
        <v/>
      </c>
      <c r="B856" s="210"/>
      <c r="C856" s="211"/>
      <c r="D856" s="211" t="str">
        <f t="shared" si="26"/>
        <v/>
      </c>
      <c r="E856" s="210" t="str">
        <f t="shared" si="27"/>
        <v/>
      </c>
      <c r="F856" s="210"/>
      <c r="G856" s="210"/>
      <c r="H856" s="210"/>
      <c r="I856" s="210"/>
      <c r="J856" s="210"/>
      <c r="K856" s="210"/>
      <c r="L856" s="210"/>
      <c r="M856" s="210"/>
      <c r="N856" s="210"/>
      <c r="O856" s="196"/>
    </row>
    <row r="857" spans="1:15" s="212" customFormat="1" ht="15.75">
      <c r="A857" s="209" t="str">
        <f ca="1">IF(ISNA(VLOOKUP(D857,'Standard Smelter Names'!$B$3:$E$165,4,FALSE)),"",VLOOKUP(D857,'Standard Smelter Names'!$B$3:$E$165,4,FALSE))</f>
        <v/>
      </c>
      <c r="B857" s="210"/>
      <c r="C857" s="211"/>
      <c r="D857" s="211" t="str">
        <f t="shared" si="26"/>
        <v/>
      </c>
      <c r="E857" s="210" t="str">
        <f t="shared" si="27"/>
        <v/>
      </c>
      <c r="F857" s="210"/>
      <c r="G857" s="210"/>
      <c r="H857" s="210"/>
      <c r="I857" s="210"/>
      <c r="J857" s="210"/>
      <c r="K857" s="210"/>
      <c r="L857" s="210"/>
      <c r="M857" s="210"/>
      <c r="N857" s="210"/>
      <c r="O857" s="196"/>
    </row>
    <row r="858" spans="1:15" s="212" customFormat="1" ht="15.75">
      <c r="A858" s="209" t="str">
        <f ca="1">IF(ISNA(VLOOKUP(D858,'Standard Smelter Names'!$B$3:$E$165,4,FALSE)),"",VLOOKUP(D858,'Standard Smelter Names'!$B$3:$E$165,4,FALSE))</f>
        <v/>
      </c>
      <c r="B858" s="210"/>
      <c r="C858" s="211"/>
      <c r="D858" s="211" t="str">
        <f t="shared" si="26"/>
        <v/>
      </c>
      <c r="E858" s="210" t="str">
        <f t="shared" si="27"/>
        <v/>
      </c>
      <c r="F858" s="210"/>
      <c r="G858" s="210"/>
      <c r="H858" s="210"/>
      <c r="I858" s="210"/>
      <c r="J858" s="210"/>
      <c r="K858" s="210"/>
      <c r="L858" s="210"/>
      <c r="M858" s="210"/>
      <c r="N858" s="210"/>
      <c r="O858" s="196"/>
    </row>
    <row r="859" spans="1:15" s="212" customFormat="1" ht="15.75">
      <c r="A859" s="209" t="str">
        <f ca="1">IF(ISNA(VLOOKUP(D859,'Standard Smelter Names'!$B$3:$E$165,4,FALSE)),"",VLOOKUP(D859,'Standard Smelter Names'!$B$3:$E$165,4,FALSE))</f>
        <v/>
      </c>
      <c r="B859" s="210"/>
      <c r="C859" s="211"/>
      <c r="D859" s="211" t="str">
        <f t="shared" si="26"/>
        <v/>
      </c>
      <c r="E859" s="210" t="str">
        <f t="shared" si="27"/>
        <v/>
      </c>
      <c r="F859" s="210"/>
      <c r="G859" s="210"/>
      <c r="H859" s="210"/>
      <c r="I859" s="210"/>
      <c r="J859" s="210"/>
      <c r="K859" s="210"/>
      <c r="L859" s="210"/>
      <c r="M859" s="210"/>
      <c r="N859" s="210"/>
      <c r="O859" s="196"/>
    </row>
    <row r="860" spans="1:15" s="212" customFormat="1" ht="15.75">
      <c r="A860" s="209" t="str">
        <f ca="1">IF(ISNA(VLOOKUP(D860,'Standard Smelter Names'!$B$3:$E$165,4,FALSE)),"",VLOOKUP(D860,'Standard Smelter Names'!$B$3:$E$165,4,FALSE))</f>
        <v/>
      </c>
      <c r="B860" s="210"/>
      <c r="C860" s="211"/>
      <c r="D860" s="211" t="str">
        <f t="shared" si="26"/>
        <v/>
      </c>
      <c r="E860" s="210" t="str">
        <f t="shared" si="27"/>
        <v/>
      </c>
      <c r="F860" s="210"/>
      <c r="G860" s="210"/>
      <c r="H860" s="210"/>
      <c r="I860" s="210"/>
      <c r="J860" s="210"/>
      <c r="K860" s="210"/>
      <c r="L860" s="210"/>
      <c r="M860" s="210"/>
      <c r="N860" s="210"/>
      <c r="O860" s="196"/>
    </row>
    <row r="861" spans="1:15" s="212" customFormat="1" ht="15.75">
      <c r="A861" s="209" t="str">
        <f ca="1">IF(ISNA(VLOOKUP(D861,'Standard Smelter Names'!$B$3:$E$165,4,FALSE)),"",VLOOKUP(D861,'Standard Smelter Names'!$B$3:$E$165,4,FALSE))</f>
        <v/>
      </c>
      <c r="B861" s="210"/>
      <c r="C861" s="211"/>
      <c r="D861" s="211" t="str">
        <f t="shared" si="26"/>
        <v/>
      </c>
      <c r="E861" s="210" t="str">
        <f t="shared" si="27"/>
        <v/>
      </c>
      <c r="F861" s="210"/>
      <c r="G861" s="210"/>
      <c r="H861" s="210"/>
      <c r="I861" s="210"/>
      <c r="J861" s="210"/>
      <c r="K861" s="210"/>
      <c r="L861" s="210"/>
      <c r="M861" s="210"/>
      <c r="N861" s="210"/>
      <c r="O861" s="196"/>
    </row>
    <row r="862" spans="1:15" s="212" customFormat="1" ht="15.75">
      <c r="A862" s="209" t="str">
        <f ca="1">IF(ISNA(VLOOKUP(D862,'Standard Smelter Names'!$B$3:$E$165,4,FALSE)),"",VLOOKUP(D862,'Standard Smelter Names'!$B$3:$E$165,4,FALSE))</f>
        <v/>
      </c>
      <c r="B862" s="210"/>
      <c r="C862" s="211"/>
      <c r="D862" s="211" t="str">
        <f t="shared" si="26"/>
        <v/>
      </c>
      <c r="E862" s="210" t="str">
        <f t="shared" si="27"/>
        <v/>
      </c>
      <c r="F862" s="210"/>
      <c r="G862" s="210"/>
      <c r="H862" s="210"/>
      <c r="I862" s="210"/>
      <c r="J862" s="210"/>
      <c r="K862" s="210"/>
      <c r="L862" s="210"/>
      <c r="M862" s="210"/>
      <c r="N862" s="210"/>
      <c r="O862" s="196"/>
    </row>
    <row r="863" spans="1:15" s="212" customFormat="1" ht="15.75">
      <c r="A863" s="209" t="str">
        <f ca="1">IF(ISNA(VLOOKUP(D863,'Standard Smelter Names'!$B$3:$E$165,4,FALSE)),"",VLOOKUP(D863,'Standard Smelter Names'!$B$3:$E$165,4,FALSE))</f>
        <v/>
      </c>
      <c r="B863" s="210"/>
      <c r="C863" s="211"/>
      <c r="D863" s="211" t="str">
        <f t="shared" si="26"/>
        <v/>
      </c>
      <c r="E863" s="210" t="str">
        <f t="shared" si="27"/>
        <v/>
      </c>
      <c r="F863" s="210"/>
      <c r="G863" s="210"/>
      <c r="H863" s="210"/>
      <c r="I863" s="210"/>
      <c r="J863" s="210"/>
      <c r="K863" s="210"/>
      <c r="L863" s="210"/>
      <c r="M863" s="210"/>
      <c r="N863" s="210"/>
      <c r="O863" s="196"/>
    </row>
    <row r="864" spans="1:15" s="212" customFormat="1" ht="15.75">
      <c r="A864" s="209" t="str">
        <f ca="1">IF(ISNA(VLOOKUP(D864,'Standard Smelter Names'!$B$3:$E$165,4,FALSE)),"",VLOOKUP(D864,'Standard Smelter Names'!$B$3:$E$165,4,FALSE))</f>
        <v/>
      </c>
      <c r="B864" s="210"/>
      <c r="C864" s="211"/>
      <c r="D864" s="211" t="str">
        <f t="shared" si="26"/>
        <v/>
      </c>
      <c r="E864" s="210" t="str">
        <f t="shared" si="27"/>
        <v/>
      </c>
      <c r="F864" s="210"/>
      <c r="G864" s="210"/>
      <c r="H864" s="210"/>
      <c r="I864" s="210"/>
      <c r="J864" s="210"/>
      <c r="K864" s="210"/>
      <c r="L864" s="210"/>
      <c r="M864" s="210"/>
      <c r="N864" s="210"/>
      <c r="O864" s="196"/>
    </row>
    <row r="865" spans="1:15" s="212" customFormat="1" ht="15.75">
      <c r="A865" s="209" t="str">
        <f ca="1">IF(ISNA(VLOOKUP(D865,'Standard Smelter Names'!$B$3:$E$165,4,FALSE)),"",VLOOKUP(D865,'Standard Smelter Names'!$B$3:$E$165,4,FALSE))</f>
        <v/>
      </c>
      <c r="B865" s="210"/>
      <c r="C865" s="211"/>
      <c r="D865" s="211" t="str">
        <f t="shared" si="26"/>
        <v/>
      </c>
      <c r="E865" s="210" t="str">
        <f t="shared" si="27"/>
        <v/>
      </c>
      <c r="F865" s="210"/>
      <c r="G865" s="210"/>
      <c r="H865" s="210"/>
      <c r="I865" s="210"/>
      <c r="J865" s="210"/>
      <c r="K865" s="210"/>
      <c r="L865" s="210"/>
      <c r="M865" s="210"/>
      <c r="N865" s="210"/>
      <c r="O865" s="196"/>
    </row>
    <row r="866" spans="1:15" s="212" customFormat="1" ht="15.75">
      <c r="A866" s="209" t="str">
        <f ca="1">IF(ISNA(VLOOKUP(D866,'Standard Smelter Names'!$B$3:$E$165,4,FALSE)),"",VLOOKUP(D866,'Standard Smelter Names'!$B$3:$E$165,4,FALSE))</f>
        <v/>
      </c>
      <c r="B866" s="210"/>
      <c r="C866" s="211"/>
      <c r="D866" s="211" t="str">
        <f t="shared" si="26"/>
        <v/>
      </c>
      <c r="E866" s="210" t="str">
        <f t="shared" si="27"/>
        <v/>
      </c>
      <c r="F866" s="210"/>
      <c r="G866" s="210"/>
      <c r="H866" s="210"/>
      <c r="I866" s="210"/>
      <c r="J866" s="210"/>
      <c r="K866" s="210"/>
      <c r="L866" s="210"/>
      <c r="M866" s="210"/>
      <c r="N866" s="210"/>
      <c r="O866" s="196"/>
    </row>
    <row r="867" spans="1:15" s="212" customFormat="1" ht="15.75">
      <c r="A867" s="209" t="str">
        <f ca="1">IF(ISNA(VLOOKUP(D867,'Standard Smelter Names'!$B$3:$E$165,4,FALSE)),"",VLOOKUP(D867,'Standard Smelter Names'!$B$3:$E$165,4,FALSE))</f>
        <v/>
      </c>
      <c r="B867" s="210"/>
      <c r="C867" s="211"/>
      <c r="D867" s="211" t="str">
        <f t="shared" si="26"/>
        <v/>
      </c>
      <c r="E867" s="210" t="str">
        <f t="shared" si="27"/>
        <v/>
      </c>
      <c r="F867" s="210"/>
      <c r="G867" s="210"/>
      <c r="H867" s="210"/>
      <c r="I867" s="210"/>
      <c r="J867" s="210"/>
      <c r="K867" s="210"/>
      <c r="L867" s="210"/>
      <c r="M867" s="210"/>
      <c r="N867" s="210"/>
      <c r="O867" s="196"/>
    </row>
    <row r="868" spans="1:15" s="212" customFormat="1" ht="15.75">
      <c r="A868" s="209" t="str">
        <f ca="1">IF(ISNA(VLOOKUP(D868,'Standard Smelter Names'!$B$3:$E$165,4,FALSE)),"",VLOOKUP(D868,'Standard Smelter Names'!$B$3:$E$165,4,FALSE))</f>
        <v/>
      </c>
      <c r="B868" s="210"/>
      <c r="C868" s="211"/>
      <c r="D868" s="211" t="str">
        <f t="shared" si="26"/>
        <v/>
      </c>
      <c r="E868" s="210" t="str">
        <f t="shared" si="27"/>
        <v/>
      </c>
      <c r="F868" s="210"/>
      <c r="G868" s="210"/>
      <c r="H868" s="210"/>
      <c r="I868" s="210"/>
      <c r="J868" s="210"/>
      <c r="K868" s="210"/>
      <c r="L868" s="210"/>
      <c r="M868" s="210"/>
      <c r="N868" s="210"/>
      <c r="O868" s="196"/>
    </row>
    <row r="869" spans="1:15" s="212" customFormat="1" ht="15.75">
      <c r="A869" s="209" t="str">
        <f ca="1">IF(ISNA(VLOOKUP(D869,'Standard Smelter Names'!$B$3:$E$165,4,FALSE)),"",VLOOKUP(D869,'Standard Smelter Names'!$B$3:$E$165,4,FALSE))</f>
        <v/>
      </c>
      <c r="B869" s="210"/>
      <c r="C869" s="211"/>
      <c r="D869" s="211" t="str">
        <f t="shared" si="26"/>
        <v/>
      </c>
      <c r="E869" s="210" t="str">
        <f t="shared" si="27"/>
        <v/>
      </c>
      <c r="F869" s="210"/>
      <c r="G869" s="210"/>
      <c r="H869" s="210"/>
      <c r="I869" s="210"/>
      <c r="J869" s="210"/>
      <c r="K869" s="210"/>
      <c r="L869" s="210"/>
      <c r="M869" s="210"/>
      <c r="N869" s="210"/>
      <c r="O869" s="196"/>
    </row>
    <row r="870" spans="1:15" s="212" customFormat="1" ht="15.75">
      <c r="A870" s="209" t="str">
        <f ca="1">IF(ISNA(VLOOKUP(D870,'Standard Smelter Names'!$B$3:$E$165,4,FALSE)),"",VLOOKUP(D870,'Standard Smelter Names'!$B$3:$E$165,4,FALSE))</f>
        <v/>
      </c>
      <c r="B870" s="210"/>
      <c r="C870" s="211"/>
      <c r="D870" s="211" t="str">
        <f t="shared" si="26"/>
        <v/>
      </c>
      <c r="E870" s="210" t="str">
        <f t="shared" si="27"/>
        <v/>
      </c>
      <c r="F870" s="210"/>
      <c r="G870" s="210"/>
      <c r="H870" s="210"/>
      <c r="I870" s="210"/>
      <c r="J870" s="210"/>
      <c r="K870" s="210"/>
      <c r="L870" s="210"/>
      <c r="M870" s="210"/>
      <c r="N870" s="210"/>
      <c r="O870" s="196"/>
    </row>
    <row r="871" spans="1:15" s="212" customFormat="1" ht="15.75">
      <c r="A871" s="209" t="str">
        <f ca="1">IF(ISNA(VLOOKUP(D871,'Standard Smelter Names'!$B$3:$E$165,4,FALSE)),"",VLOOKUP(D871,'Standard Smelter Names'!$B$3:$E$165,4,FALSE))</f>
        <v/>
      </c>
      <c r="B871" s="210"/>
      <c r="C871" s="211"/>
      <c r="D871" s="211" t="str">
        <f t="shared" si="26"/>
        <v/>
      </c>
      <c r="E871" s="210" t="str">
        <f t="shared" si="27"/>
        <v/>
      </c>
      <c r="F871" s="210"/>
      <c r="G871" s="210"/>
      <c r="H871" s="210"/>
      <c r="I871" s="210"/>
      <c r="J871" s="210"/>
      <c r="K871" s="210"/>
      <c r="L871" s="210"/>
      <c r="M871" s="210"/>
      <c r="N871" s="210"/>
      <c r="O871" s="196"/>
    </row>
    <row r="872" spans="1:15" s="212" customFormat="1" ht="15.75">
      <c r="A872" s="209" t="str">
        <f ca="1">IF(ISNA(VLOOKUP(D872,'Standard Smelter Names'!$B$3:$E$165,4,FALSE)),"",VLOOKUP(D872,'Standard Smelter Names'!$B$3:$E$165,4,FALSE))</f>
        <v/>
      </c>
      <c r="B872" s="210"/>
      <c r="C872" s="211"/>
      <c r="D872" s="211" t="str">
        <f t="shared" si="26"/>
        <v/>
      </c>
      <c r="E872" s="210" t="str">
        <f t="shared" si="27"/>
        <v/>
      </c>
      <c r="F872" s="210"/>
      <c r="G872" s="210"/>
      <c r="H872" s="210"/>
      <c r="I872" s="210"/>
      <c r="J872" s="210"/>
      <c r="K872" s="210"/>
      <c r="L872" s="210"/>
      <c r="M872" s="210"/>
      <c r="N872" s="210"/>
      <c r="O872" s="196"/>
    </row>
    <row r="873" spans="1:15" s="212" customFormat="1" ht="15.75">
      <c r="A873" s="209" t="str">
        <f ca="1">IF(ISNA(VLOOKUP(D873,'Standard Smelter Names'!$B$3:$E$165,4,FALSE)),"",VLOOKUP(D873,'Standard Smelter Names'!$B$3:$E$165,4,FALSE))</f>
        <v/>
      </c>
      <c r="B873" s="210"/>
      <c r="C873" s="211"/>
      <c r="D873" s="211" t="str">
        <f t="shared" si="26"/>
        <v/>
      </c>
      <c r="E873" s="210" t="str">
        <f t="shared" si="27"/>
        <v/>
      </c>
      <c r="F873" s="210"/>
      <c r="G873" s="210"/>
      <c r="H873" s="210"/>
      <c r="I873" s="210"/>
      <c r="J873" s="210"/>
      <c r="K873" s="210"/>
      <c r="L873" s="210"/>
      <c r="M873" s="210"/>
      <c r="N873" s="210"/>
      <c r="O873" s="196"/>
    </row>
    <row r="874" spans="1:15" s="212" customFormat="1" ht="15.75">
      <c r="A874" s="209" t="str">
        <f ca="1">IF(ISNA(VLOOKUP(D874,'Standard Smelter Names'!$B$3:$E$165,4,FALSE)),"",VLOOKUP(D874,'Standard Smelter Names'!$B$3:$E$165,4,FALSE))</f>
        <v/>
      </c>
      <c r="B874" s="210"/>
      <c r="C874" s="211"/>
      <c r="D874" s="211" t="str">
        <f t="shared" si="26"/>
        <v/>
      </c>
      <c r="E874" s="210" t="str">
        <f t="shared" si="27"/>
        <v/>
      </c>
      <c r="F874" s="210"/>
      <c r="G874" s="210"/>
      <c r="H874" s="210"/>
      <c r="I874" s="210"/>
      <c r="J874" s="210"/>
      <c r="K874" s="210"/>
      <c r="L874" s="210"/>
      <c r="M874" s="210"/>
      <c r="N874" s="210"/>
      <c r="O874" s="196"/>
    </row>
    <row r="875" spans="1:15" s="212" customFormat="1" ht="15.75">
      <c r="A875" s="209" t="str">
        <f ca="1">IF(ISNA(VLOOKUP(D875,'Standard Smelter Names'!$B$3:$E$165,4,FALSE)),"",VLOOKUP(D875,'Standard Smelter Names'!$B$3:$E$165,4,FALSE))</f>
        <v/>
      </c>
      <c r="B875" s="210"/>
      <c r="C875" s="211"/>
      <c r="D875" s="211" t="str">
        <f t="shared" si="26"/>
        <v/>
      </c>
      <c r="E875" s="210" t="str">
        <f t="shared" si="27"/>
        <v/>
      </c>
      <c r="F875" s="210"/>
      <c r="G875" s="210"/>
      <c r="H875" s="210"/>
      <c r="I875" s="210"/>
      <c r="J875" s="210"/>
      <c r="K875" s="210"/>
      <c r="L875" s="210"/>
      <c r="M875" s="210"/>
      <c r="N875" s="210"/>
      <c r="O875" s="196"/>
    </row>
    <row r="876" spans="1:15" s="212" customFormat="1" ht="15.75">
      <c r="A876" s="209" t="str">
        <f ca="1">IF(ISNA(VLOOKUP(D876,'Standard Smelter Names'!$B$3:$E$165,4,FALSE)),"",VLOOKUP(D876,'Standard Smelter Names'!$B$3:$E$165,4,FALSE))</f>
        <v/>
      </c>
      <c r="B876" s="210"/>
      <c r="C876" s="211"/>
      <c r="D876" s="211" t="str">
        <f t="shared" si="26"/>
        <v/>
      </c>
      <c r="E876" s="210" t="str">
        <f t="shared" si="27"/>
        <v/>
      </c>
      <c r="F876" s="210"/>
      <c r="G876" s="210"/>
      <c r="H876" s="210"/>
      <c r="I876" s="210"/>
      <c r="J876" s="210"/>
      <c r="K876" s="210"/>
      <c r="L876" s="210"/>
      <c r="M876" s="210"/>
      <c r="N876" s="210"/>
      <c r="O876" s="196"/>
    </row>
    <row r="877" spans="1:15" s="212" customFormat="1" ht="15.75">
      <c r="A877" s="209" t="str">
        <f ca="1">IF(ISNA(VLOOKUP(D877,'Standard Smelter Names'!$B$3:$E$165,4,FALSE)),"",VLOOKUP(D877,'Standard Smelter Names'!$B$3:$E$165,4,FALSE))</f>
        <v/>
      </c>
      <c r="B877" s="210"/>
      <c r="C877" s="211"/>
      <c r="D877" s="211" t="str">
        <f t="shared" si="26"/>
        <v/>
      </c>
      <c r="E877" s="210" t="str">
        <f t="shared" si="27"/>
        <v/>
      </c>
      <c r="F877" s="210"/>
      <c r="G877" s="210"/>
      <c r="H877" s="210"/>
      <c r="I877" s="210"/>
      <c r="J877" s="210"/>
      <c r="K877" s="210"/>
      <c r="L877" s="210"/>
      <c r="M877" s="210"/>
      <c r="N877" s="210"/>
      <c r="O877" s="196"/>
    </row>
    <row r="878" spans="1:15" s="212" customFormat="1" ht="15.75">
      <c r="A878" s="209" t="str">
        <f ca="1">IF(ISNA(VLOOKUP(D878,'Standard Smelter Names'!$B$3:$E$165,4,FALSE)),"",VLOOKUP(D878,'Standard Smelter Names'!$B$3:$E$165,4,FALSE))</f>
        <v/>
      </c>
      <c r="B878" s="210"/>
      <c r="C878" s="211"/>
      <c r="D878" s="211" t="str">
        <f t="shared" si="26"/>
        <v/>
      </c>
      <c r="E878" s="210" t="str">
        <f t="shared" si="27"/>
        <v/>
      </c>
      <c r="F878" s="210"/>
      <c r="G878" s="210"/>
      <c r="H878" s="210"/>
      <c r="I878" s="210"/>
      <c r="J878" s="210"/>
      <c r="K878" s="210"/>
      <c r="L878" s="210"/>
      <c r="M878" s="210"/>
      <c r="N878" s="210"/>
      <c r="O878" s="196"/>
    </row>
    <row r="879" spans="1:15" s="212" customFormat="1" ht="15.75">
      <c r="A879" s="209" t="str">
        <f ca="1">IF(ISNA(VLOOKUP(D879,'Standard Smelter Names'!$B$3:$E$165,4,FALSE)),"",VLOOKUP(D879,'Standard Smelter Names'!$B$3:$E$165,4,FALSE))</f>
        <v/>
      </c>
      <c r="B879" s="210"/>
      <c r="C879" s="211"/>
      <c r="D879" s="211" t="str">
        <f t="shared" si="26"/>
        <v/>
      </c>
      <c r="E879" s="210" t="str">
        <f t="shared" si="27"/>
        <v/>
      </c>
      <c r="F879" s="210"/>
      <c r="G879" s="210"/>
      <c r="H879" s="210"/>
      <c r="I879" s="210"/>
      <c r="J879" s="210"/>
      <c r="K879" s="210"/>
      <c r="L879" s="210"/>
      <c r="M879" s="210"/>
      <c r="N879" s="210"/>
      <c r="O879" s="196"/>
    </row>
    <row r="880" spans="1:15" s="212" customFormat="1" ht="15.75">
      <c r="A880" s="209" t="str">
        <f ca="1">IF(ISNA(VLOOKUP(D880,'Standard Smelter Names'!$B$3:$E$165,4,FALSE)),"",VLOOKUP(D880,'Standard Smelter Names'!$B$3:$E$165,4,FALSE))</f>
        <v/>
      </c>
      <c r="B880" s="210"/>
      <c r="C880" s="211"/>
      <c r="D880" s="211" t="str">
        <f t="shared" si="26"/>
        <v/>
      </c>
      <c r="E880" s="210" t="str">
        <f t="shared" si="27"/>
        <v/>
      </c>
      <c r="F880" s="210"/>
      <c r="G880" s="210"/>
      <c r="H880" s="210"/>
      <c r="I880" s="210"/>
      <c r="J880" s="210"/>
      <c r="K880" s="210"/>
      <c r="L880" s="210"/>
      <c r="M880" s="210"/>
      <c r="N880" s="210"/>
      <c r="O880" s="196"/>
    </row>
    <row r="881" spans="1:15" s="212" customFormat="1" ht="15.75">
      <c r="A881" s="209" t="str">
        <f ca="1">IF(ISNA(VLOOKUP(D881,'Standard Smelter Names'!$B$3:$E$165,4,FALSE)),"",VLOOKUP(D881,'Standard Smelter Names'!$B$3:$E$165,4,FALSE))</f>
        <v/>
      </c>
      <c r="B881" s="210"/>
      <c r="C881" s="211"/>
      <c r="D881" s="211" t="str">
        <f t="shared" si="26"/>
        <v/>
      </c>
      <c r="E881" s="210" t="str">
        <f t="shared" si="27"/>
        <v/>
      </c>
      <c r="F881" s="210"/>
      <c r="G881" s="210"/>
      <c r="H881" s="210"/>
      <c r="I881" s="210"/>
      <c r="J881" s="210"/>
      <c r="K881" s="210"/>
      <c r="L881" s="210"/>
      <c r="M881" s="210"/>
      <c r="N881" s="210"/>
      <c r="O881" s="196"/>
    </row>
    <row r="882" spans="1:15" s="212" customFormat="1" ht="15.75">
      <c r="A882" s="209" t="str">
        <f ca="1">IF(ISNA(VLOOKUP(D882,'Standard Smelter Names'!$B$3:$E$165,4,FALSE)),"",VLOOKUP(D882,'Standard Smelter Names'!$B$3:$E$165,4,FALSE))</f>
        <v/>
      </c>
      <c r="B882" s="210"/>
      <c r="C882" s="211"/>
      <c r="D882" s="211" t="str">
        <f t="shared" si="26"/>
        <v/>
      </c>
      <c r="E882" s="210" t="str">
        <f t="shared" si="27"/>
        <v/>
      </c>
      <c r="F882" s="210"/>
      <c r="G882" s="210"/>
      <c r="H882" s="210"/>
      <c r="I882" s="210"/>
      <c r="J882" s="210"/>
      <c r="K882" s="210"/>
      <c r="L882" s="210"/>
      <c r="M882" s="210"/>
      <c r="N882" s="210"/>
      <c r="O882" s="196"/>
    </row>
    <row r="883" spans="1:15" s="212" customFormat="1" ht="15.75">
      <c r="A883" s="209" t="str">
        <f ca="1">IF(ISNA(VLOOKUP(D883,'Standard Smelter Names'!$B$3:$E$165,4,FALSE)),"",VLOOKUP(D883,'Standard Smelter Names'!$B$3:$E$165,4,FALSE))</f>
        <v/>
      </c>
      <c r="B883" s="210"/>
      <c r="C883" s="211"/>
      <c r="D883" s="211" t="str">
        <f t="shared" si="26"/>
        <v/>
      </c>
      <c r="E883" s="210" t="str">
        <f t="shared" si="27"/>
        <v/>
      </c>
      <c r="F883" s="210"/>
      <c r="G883" s="210"/>
      <c r="H883" s="210"/>
      <c r="I883" s="210"/>
      <c r="J883" s="210"/>
      <c r="K883" s="210"/>
      <c r="L883" s="210"/>
      <c r="M883" s="210"/>
      <c r="N883" s="210"/>
      <c r="O883" s="196"/>
    </row>
    <row r="884" spans="1:15" s="212" customFormat="1" ht="15.75">
      <c r="A884" s="209" t="str">
        <f ca="1">IF(ISNA(VLOOKUP(D884,'Standard Smelter Names'!$B$3:$E$165,4,FALSE)),"",VLOOKUP(D884,'Standard Smelter Names'!$B$3:$E$165,4,FALSE))</f>
        <v/>
      </c>
      <c r="B884" s="210"/>
      <c r="C884" s="211"/>
      <c r="D884" s="211" t="str">
        <f t="shared" si="26"/>
        <v/>
      </c>
      <c r="E884" s="210" t="str">
        <f t="shared" si="27"/>
        <v/>
      </c>
      <c r="F884" s="210"/>
      <c r="G884" s="210"/>
      <c r="H884" s="210"/>
      <c r="I884" s="210"/>
      <c r="J884" s="210"/>
      <c r="K884" s="210"/>
      <c r="L884" s="210"/>
      <c r="M884" s="210"/>
      <c r="N884" s="210"/>
      <c r="O884" s="196"/>
    </row>
    <row r="885" spans="1:15" s="212" customFormat="1" ht="15.75">
      <c r="A885" s="209" t="str">
        <f ca="1">IF(ISNA(VLOOKUP(D885,'Standard Smelter Names'!$B$3:$E$165,4,FALSE)),"",VLOOKUP(D885,'Standard Smelter Names'!$B$3:$E$165,4,FALSE))</f>
        <v/>
      </c>
      <c r="B885" s="210"/>
      <c r="C885" s="211"/>
      <c r="D885" s="211" t="str">
        <f t="shared" si="26"/>
        <v/>
      </c>
      <c r="E885" s="210" t="str">
        <f t="shared" si="27"/>
        <v/>
      </c>
      <c r="F885" s="210"/>
      <c r="G885" s="210"/>
      <c r="H885" s="210"/>
      <c r="I885" s="210"/>
      <c r="J885" s="210"/>
      <c r="K885" s="210"/>
      <c r="L885" s="210"/>
      <c r="M885" s="210"/>
      <c r="N885" s="210"/>
      <c r="O885" s="196"/>
    </row>
    <row r="886" spans="1:15" s="212" customFormat="1" ht="15.75">
      <c r="A886" s="209" t="str">
        <f ca="1">IF(ISNA(VLOOKUP(D886,'Standard Smelter Names'!$B$3:$E$165,4,FALSE)),"",VLOOKUP(D886,'Standard Smelter Names'!$B$3:$E$165,4,FALSE))</f>
        <v/>
      </c>
      <c r="B886" s="210"/>
      <c r="C886" s="211"/>
      <c r="D886" s="211" t="str">
        <f t="shared" si="26"/>
        <v/>
      </c>
      <c r="E886" s="210" t="str">
        <f t="shared" si="27"/>
        <v/>
      </c>
      <c r="F886" s="210"/>
      <c r="G886" s="210"/>
      <c r="H886" s="210"/>
      <c r="I886" s="210"/>
      <c r="J886" s="210"/>
      <c r="K886" s="210"/>
      <c r="L886" s="210"/>
      <c r="M886" s="210"/>
      <c r="N886" s="210"/>
      <c r="O886" s="196"/>
    </row>
    <row r="887" spans="1:15" s="212" customFormat="1" ht="15.75">
      <c r="A887" s="209" t="str">
        <f ca="1">IF(ISNA(VLOOKUP(D887,'Standard Smelter Names'!$B$3:$E$165,4,FALSE)),"",VLOOKUP(D887,'Standard Smelter Names'!$B$3:$E$165,4,FALSE))</f>
        <v/>
      </c>
      <c r="B887" s="210"/>
      <c r="C887" s="211"/>
      <c r="D887" s="211" t="str">
        <f t="shared" si="26"/>
        <v/>
      </c>
      <c r="E887" s="210" t="str">
        <f t="shared" si="27"/>
        <v/>
      </c>
      <c r="F887" s="210"/>
      <c r="G887" s="210"/>
      <c r="H887" s="210"/>
      <c r="I887" s="210"/>
      <c r="J887" s="210"/>
      <c r="K887" s="210"/>
      <c r="L887" s="210"/>
      <c r="M887" s="210"/>
      <c r="N887" s="210"/>
      <c r="O887" s="196"/>
    </row>
    <row r="888" spans="1:15" s="212" customFormat="1" ht="15.75">
      <c r="A888" s="209" t="str">
        <f ca="1">IF(ISNA(VLOOKUP(D888,'Standard Smelter Names'!$B$3:$E$165,4,FALSE)),"",VLOOKUP(D888,'Standard Smelter Names'!$B$3:$E$165,4,FALSE))</f>
        <v/>
      </c>
      <c r="B888" s="210"/>
      <c r="C888" s="211"/>
      <c r="D888" s="211" t="str">
        <f t="shared" si="26"/>
        <v/>
      </c>
      <c r="E888" s="210" t="str">
        <f t="shared" si="27"/>
        <v/>
      </c>
      <c r="F888" s="210"/>
      <c r="G888" s="210"/>
      <c r="H888" s="210"/>
      <c r="I888" s="210"/>
      <c r="J888" s="210"/>
      <c r="K888" s="210"/>
      <c r="L888" s="210"/>
      <c r="M888" s="210"/>
      <c r="N888" s="210"/>
      <c r="O888" s="196"/>
    </row>
    <row r="889" spans="1:15" s="212" customFormat="1" ht="15.75">
      <c r="A889" s="209" t="str">
        <f ca="1">IF(ISNA(VLOOKUP(D889,'Standard Smelter Names'!$B$3:$E$165,4,FALSE)),"",VLOOKUP(D889,'Standard Smelter Names'!$B$3:$E$165,4,FALSE))</f>
        <v/>
      </c>
      <c r="B889" s="210"/>
      <c r="C889" s="211"/>
      <c r="D889" s="211" t="str">
        <f t="shared" si="26"/>
        <v/>
      </c>
      <c r="E889" s="210" t="str">
        <f t="shared" si="27"/>
        <v/>
      </c>
      <c r="F889" s="210"/>
      <c r="G889" s="210"/>
      <c r="H889" s="210"/>
      <c r="I889" s="210"/>
      <c r="J889" s="210"/>
      <c r="K889" s="210"/>
      <c r="L889" s="210"/>
      <c r="M889" s="210"/>
      <c r="N889" s="210"/>
      <c r="O889" s="196"/>
    </row>
    <row r="890" spans="1:15" s="212" customFormat="1" ht="15.75">
      <c r="A890" s="209" t="str">
        <f ca="1">IF(ISNA(VLOOKUP(D890,'Standard Smelter Names'!$B$3:$E$165,4,FALSE)),"",VLOOKUP(D890,'Standard Smelter Names'!$B$3:$E$165,4,FALSE))</f>
        <v/>
      </c>
      <c r="B890" s="210"/>
      <c r="C890" s="211"/>
      <c r="D890" s="211" t="str">
        <f t="shared" si="26"/>
        <v/>
      </c>
      <c r="E890" s="210" t="str">
        <f t="shared" si="27"/>
        <v/>
      </c>
      <c r="F890" s="210"/>
      <c r="G890" s="210"/>
      <c r="H890" s="210"/>
      <c r="I890" s="210"/>
      <c r="J890" s="210"/>
      <c r="K890" s="210"/>
      <c r="L890" s="210"/>
      <c r="M890" s="210"/>
      <c r="N890" s="210"/>
      <c r="O890" s="196"/>
    </row>
    <row r="891" spans="1:15" s="212" customFormat="1" ht="15.75">
      <c r="A891" s="209" t="str">
        <f ca="1">IF(ISNA(VLOOKUP(D891,'Standard Smelter Names'!$B$3:$E$165,4,FALSE)),"",VLOOKUP(D891,'Standard Smelter Names'!$B$3:$E$165,4,FALSE))</f>
        <v/>
      </c>
      <c r="B891" s="210"/>
      <c r="C891" s="211"/>
      <c r="D891" s="211" t="str">
        <f t="shared" si="26"/>
        <v/>
      </c>
      <c r="E891" s="210" t="str">
        <f t="shared" si="27"/>
        <v/>
      </c>
      <c r="F891" s="210"/>
      <c r="G891" s="210"/>
      <c r="H891" s="210"/>
      <c r="I891" s="210"/>
      <c r="J891" s="210"/>
      <c r="K891" s="210"/>
      <c r="L891" s="210"/>
      <c r="M891" s="210"/>
      <c r="N891" s="210"/>
      <c r="O891" s="196"/>
    </row>
    <row r="892" spans="1:15" s="212" customFormat="1" ht="15.75">
      <c r="A892" s="209" t="str">
        <f ca="1">IF(ISNA(VLOOKUP(D892,'Standard Smelter Names'!$B$3:$E$165,4,FALSE)),"",VLOOKUP(D892,'Standard Smelter Names'!$B$3:$E$165,4,FALSE))</f>
        <v/>
      </c>
      <c r="B892" s="210"/>
      <c r="C892" s="211"/>
      <c r="D892" s="211" t="str">
        <f t="shared" si="26"/>
        <v/>
      </c>
      <c r="E892" s="210" t="str">
        <f t="shared" si="27"/>
        <v/>
      </c>
      <c r="F892" s="210"/>
      <c r="G892" s="210"/>
      <c r="H892" s="210"/>
      <c r="I892" s="210"/>
      <c r="J892" s="210"/>
      <c r="K892" s="210"/>
      <c r="L892" s="210"/>
      <c r="M892" s="210"/>
      <c r="N892" s="210"/>
      <c r="O892" s="196"/>
    </row>
    <row r="893" spans="1:15" s="212" customFormat="1" ht="15.75">
      <c r="A893" s="209" t="str">
        <f ca="1">IF(ISNA(VLOOKUP(D893,'Standard Smelter Names'!$B$3:$E$165,4,FALSE)),"",VLOOKUP(D893,'Standard Smelter Names'!$B$3:$E$165,4,FALSE))</f>
        <v/>
      </c>
      <c r="B893" s="210"/>
      <c r="C893" s="211"/>
      <c r="D893" s="211" t="str">
        <f t="shared" si="26"/>
        <v/>
      </c>
      <c r="E893" s="210" t="str">
        <f t="shared" si="27"/>
        <v/>
      </c>
      <c r="F893" s="210"/>
      <c r="G893" s="210"/>
      <c r="H893" s="210"/>
      <c r="I893" s="210"/>
      <c r="J893" s="210"/>
      <c r="K893" s="210"/>
      <c r="L893" s="210"/>
      <c r="M893" s="210"/>
      <c r="N893" s="210"/>
      <c r="O893" s="196"/>
    </row>
    <row r="894" spans="1:15" s="212" customFormat="1" ht="15.75">
      <c r="A894" s="209" t="str">
        <f ca="1">IF(ISNA(VLOOKUP(D894,'Standard Smelter Names'!$B$3:$E$165,4,FALSE)),"",VLOOKUP(D894,'Standard Smelter Names'!$B$3:$E$165,4,FALSE))</f>
        <v/>
      </c>
      <c r="B894" s="210"/>
      <c r="C894" s="211"/>
      <c r="D894" s="211" t="str">
        <f t="shared" si="26"/>
        <v/>
      </c>
      <c r="E894" s="210" t="str">
        <f t="shared" si="27"/>
        <v/>
      </c>
      <c r="F894" s="210"/>
      <c r="G894" s="210"/>
      <c r="H894" s="210"/>
      <c r="I894" s="210"/>
      <c r="J894" s="210"/>
      <c r="K894" s="210"/>
      <c r="L894" s="210"/>
      <c r="M894" s="210"/>
      <c r="N894" s="210"/>
      <c r="O894" s="196"/>
    </row>
    <row r="895" spans="1:15" s="212" customFormat="1" ht="15.75">
      <c r="A895" s="209" t="str">
        <f ca="1">IF(ISNA(VLOOKUP(D895,'Standard Smelter Names'!$B$3:$E$165,4,FALSE)),"",VLOOKUP(D895,'Standard Smelter Names'!$B$3:$E$165,4,FALSE))</f>
        <v/>
      </c>
      <c r="B895" s="210"/>
      <c r="C895" s="211"/>
      <c r="D895" s="211" t="str">
        <f t="shared" si="26"/>
        <v/>
      </c>
      <c r="E895" s="210" t="str">
        <f t="shared" si="27"/>
        <v/>
      </c>
      <c r="F895" s="210"/>
      <c r="G895" s="210"/>
      <c r="H895" s="210"/>
      <c r="I895" s="210"/>
      <c r="J895" s="210"/>
      <c r="K895" s="210"/>
      <c r="L895" s="210"/>
      <c r="M895" s="210"/>
      <c r="N895" s="210"/>
      <c r="O895" s="196"/>
    </row>
    <row r="896" spans="1:15" s="212" customFormat="1" ht="15.75">
      <c r="A896" s="209" t="str">
        <f ca="1">IF(ISNA(VLOOKUP(D896,'Standard Smelter Names'!$B$3:$E$165,4,FALSE)),"",VLOOKUP(D896,'Standard Smelter Names'!$B$3:$E$165,4,FALSE))</f>
        <v/>
      </c>
      <c r="B896" s="210"/>
      <c r="C896" s="211"/>
      <c r="D896" s="211" t="str">
        <f t="shared" si="26"/>
        <v/>
      </c>
      <c r="E896" s="210" t="str">
        <f t="shared" si="27"/>
        <v/>
      </c>
      <c r="F896" s="210"/>
      <c r="G896" s="210"/>
      <c r="H896" s="210"/>
      <c r="I896" s="210"/>
      <c r="J896" s="210"/>
      <c r="K896" s="210"/>
      <c r="L896" s="210"/>
      <c r="M896" s="210"/>
      <c r="N896" s="210"/>
      <c r="O896" s="196"/>
    </row>
    <row r="897" spans="1:15" s="212" customFormat="1" ht="15.75">
      <c r="A897" s="209" t="str">
        <f ca="1">IF(ISNA(VLOOKUP(D897,'Standard Smelter Names'!$B$3:$E$165,4,FALSE)),"",VLOOKUP(D897,'Standard Smelter Names'!$B$3:$E$165,4,FALSE))</f>
        <v/>
      </c>
      <c r="B897" s="210"/>
      <c r="C897" s="211"/>
      <c r="D897" s="211" t="str">
        <f t="shared" si="26"/>
        <v/>
      </c>
      <c r="E897" s="210" t="str">
        <f t="shared" si="27"/>
        <v/>
      </c>
      <c r="F897" s="210"/>
      <c r="G897" s="210"/>
      <c r="H897" s="210"/>
      <c r="I897" s="210"/>
      <c r="J897" s="210"/>
      <c r="K897" s="210"/>
      <c r="L897" s="210"/>
      <c r="M897" s="210"/>
      <c r="N897" s="210"/>
      <c r="O897" s="196"/>
    </row>
    <row r="898" spans="1:15" s="212" customFormat="1" ht="15.75">
      <c r="A898" s="209" t="str">
        <f ca="1">IF(ISNA(VLOOKUP(D898,'Standard Smelter Names'!$B$3:$E$165,4,FALSE)),"",VLOOKUP(D898,'Standard Smelter Names'!$B$3:$E$165,4,FALSE))</f>
        <v/>
      </c>
      <c r="B898" s="210"/>
      <c r="C898" s="211"/>
      <c r="D898" s="211" t="str">
        <f t="shared" si="26"/>
        <v/>
      </c>
      <c r="E898" s="210" t="str">
        <f t="shared" si="27"/>
        <v/>
      </c>
      <c r="F898" s="210"/>
      <c r="G898" s="210"/>
      <c r="H898" s="210"/>
      <c r="I898" s="210"/>
      <c r="J898" s="210"/>
      <c r="K898" s="210"/>
      <c r="L898" s="210"/>
      <c r="M898" s="210"/>
      <c r="N898" s="210"/>
      <c r="O898" s="196"/>
    </row>
    <row r="899" spans="1:15" s="212" customFormat="1" ht="15.75">
      <c r="A899" s="209" t="str">
        <f ca="1">IF(ISNA(VLOOKUP(D899,'Standard Smelter Names'!$B$3:$E$165,4,FALSE)),"",VLOOKUP(D899,'Standard Smelter Names'!$B$3:$E$165,4,FALSE))</f>
        <v/>
      </c>
      <c r="B899" s="210"/>
      <c r="C899" s="211"/>
      <c r="D899" s="211" t="str">
        <f t="shared" si="26"/>
        <v/>
      </c>
      <c r="E899" s="210" t="str">
        <f t="shared" si="27"/>
        <v/>
      </c>
      <c r="F899" s="210"/>
      <c r="G899" s="210"/>
      <c r="H899" s="210"/>
      <c r="I899" s="210"/>
      <c r="J899" s="210"/>
      <c r="K899" s="210"/>
      <c r="L899" s="210"/>
      <c r="M899" s="210"/>
      <c r="N899" s="210"/>
      <c r="O899" s="196"/>
    </row>
    <row r="900" spans="1:15" s="212" customFormat="1" ht="15.75">
      <c r="A900" s="209" t="str">
        <f ca="1">IF(ISNA(VLOOKUP(D900,'Standard Smelter Names'!$B$3:$E$165,4,FALSE)),"",VLOOKUP(D900,'Standard Smelter Names'!$B$3:$E$165,4,FALSE))</f>
        <v/>
      </c>
      <c r="B900" s="210"/>
      <c r="C900" s="211"/>
      <c r="D900" s="211" t="str">
        <f t="shared" si="26"/>
        <v/>
      </c>
      <c r="E900" s="210" t="str">
        <f t="shared" si="27"/>
        <v/>
      </c>
      <c r="F900" s="210"/>
      <c r="G900" s="210"/>
      <c r="H900" s="210"/>
      <c r="I900" s="210"/>
      <c r="J900" s="210"/>
      <c r="K900" s="210"/>
      <c r="L900" s="210"/>
      <c r="M900" s="210"/>
      <c r="N900" s="210"/>
      <c r="O900" s="196"/>
    </row>
    <row r="901" spans="1:15" s="212" customFormat="1" ht="15.75">
      <c r="A901" s="209" t="str">
        <f ca="1">IF(ISNA(VLOOKUP(D901,'Standard Smelter Names'!$B$3:$E$165,4,FALSE)),"",VLOOKUP(D901,'Standard Smelter Names'!$B$3:$E$165,4,FALSE))</f>
        <v/>
      </c>
      <c r="B901" s="210"/>
      <c r="C901" s="211"/>
      <c r="D901" s="211" t="str">
        <f t="shared" ref="D901:D964" si="28">IF(ISNA(VLOOKUP(C901,$G$1023:$I$1379,3,FALSE)),"",VLOOKUP(C901,$G$1023:$I$1379,3,FALSE))</f>
        <v/>
      </c>
      <c r="E901" s="210" t="str">
        <f t="shared" ref="E901:E964" si="29">IF(ISNA(VLOOKUP(C901,$G$1023:$I$1379,2,FALSE)),"",VLOOKUP(C901,$G$1023:$I$1379,2,FALSE))</f>
        <v/>
      </c>
      <c r="F901" s="210"/>
      <c r="G901" s="210"/>
      <c r="H901" s="210"/>
      <c r="I901" s="210"/>
      <c r="J901" s="210"/>
      <c r="K901" s="210"/>
      <c r="L901" s="210"/>
      <c r="M901" s="210"/>
      <c r="N901" s="210"/>
      <c r="O901" s="196"/>
    </row>
    <row r="902" spans="1:15" s="212" customFormat="1" ht="15.75">
      <c r="A902" s="209" t="str">
        <f ca="1">IF(ISNA(VLOOKUP(D902,'Standard Smelter Names'!$B$3:$E$165,4,FALSE)),"",VLOOKUP(D902,'Standard Smelter Names'!$B$3:$E$165,4,FALSE))</f>
        <v/>
      </c>
      <c r="B902" s="210"/>
      <c r="C902" s="211"/>
      <c r="D902" s="211" t="str">
        <f t="shared" si="28"/>
        <v/>
      </c>
      <c r="E902" s="210" t="str">
        <f t="shared" si="29"/>
        <v/>
      </c>
      <c r="F902" s="210"/>
      <c r="G902" s="210"/>
      <c r="H902" s="210"/>
      <c r="I902" s="210"/>
      <c r="J902" s="210"/>
      <c r="K902" s="210"/>
      <c r="L902" s="210"/>
      <c r="M902" s="210"/>
      <c r="N902" s="210"/>
      <c r="O902" s="196"/>
    </row>
    <row r="903" spans="1:15" s="212" customFormat="1" ht="15.75">
      <c r="A903" s="209" t="str">
        <f ca="1">IF(ISNA(VLOOKUP(D903,'Standard Smelter Names'!$B$3:$E$165,4,FALSE)),"",VLOOKUP(D903,'Standard Smelter Names'!$B$3:$E$165,4,FALSE))</f>
        <v/>
      </c>
      <c r="B903" s="210"/>
      <c r="C903" s="211"/>
      <c r="D903" s="211" t="str">
        <f t="shared" si="28"/>
        <v/>
      </c>
      <c r="E903" s="210" t="str">
        <f t="shared" si="29"/>
        <v/>
      </c>
      <c r="F903" s="210"/>
      <c r="G903" s="210"/>
      <c r="H903" s="210"/>
      <c r="I903" s="210"/>
      <c r="J903" s="210"/>
      <c r="K903" s="210"/>
      <c r="L903" s="210"/>
      <c r="M903" s="210"/>
      <c r="N903" s="210"/>
      <c r="O903" s="196"/>
    </row>
    <row r="904" spans="1:15" s="212" customFormat="1" ht="15.75">
      <c r="A904" s="209" t="str">
        <f ca="1">IF(ISNA(VLOOKUP(D904,'Standard Smelter Names'!$B$3:$E$165,4,FALSE)),"",VLOOKUP(D904,'Standard Smelter Names'!$B$3:$E$165,4,FALSE))</f>
        <v/>
      </c>
      <c r="B904" s="210"/>
      <c r="C904" s="211"/>
      <c r="D904" s="211" t="str">
        <f t="shared" si="28"/>
        <v/>
      </c>
      <c r="E904" s="210" t="str">
        <f t="shared" si="29"/>
        <v/>
      </c>
      <c r="F904" s="210"/>
      <c r="G904" s="210"/>
      <c r="H904" s="210"/>
      <c r="I904" s="210"/>
      <c r="J904" s="210"/>
      <c r="K904" s="210"/>
      <c r="L904" s="210"/>
      <c r="M904" s="210"/>
      <c r="N904" s="210"/>
      <c r="O904" s="196"/>
    </row>
    <row r="905" spans="1:15" s="212" customFormat="1" ht="15.75">
      <c r="A905" s="209" t="str">
        <f ca="1">IF(ISNA(VLOOKUP(D905,'Standard Smelter Names'!$B$3:$E$165,4,FALSE)),"",VLOOKUP(D905,'Standard Smelter Names'!$B$3:$E$165,4,FALSE))</f>
        <v/>
      </c>
      <c r="B905" s="210"/>
      <c r="C905" s="211"/>
      <c r="D905" s="211" t="str">
        <f t="shared" si="28"/>
        <v/>
      </c>
      <c r="E905" s="210" t="str">
        <f t="shared" si="29"/>
        <v/>
      </c>
      <c r="F905" s="210"/>
      <c r="G905" s="210"/>
      <c r="H905" s="210"/>
      <c r="I905" s="210"/>
      <c r="J905" s="210"/>
      <c r="K905" s="210"/>
      <c r="L905" s="210"/>
      <c r="M905" s="210"/>
      <c r="N905" s="210"/>
      <c r="O905" s="196"/>
    </row>
    <row r="906" spans="1:15" s="212" customFormat="1" ht="15.75">
      <c r="A906" s="209" t="str">
        <f ca="1">IF(ISNA(VLOOKUP(D906,'Standard Smelter Names'!$B$3:$E$165,4,FALSE)),"",VLOOKUP(D906,'Standard Smelter Names'!$B$3:$E$165,4,FALSE))</f>
        <v/>
      </c>
      <c r="B906" s="210"/>
      <c r="C906" s="211"/>
      <c r="D906" s="211" t="str">
        <f t="shared" si="28"/>
        <v/>
      </c>
      <c r="E906" s="210" t="str">
        <f t="shared" si="29"/>
        <v/>
      </c>
      <c r="F906" s="210"/>
      <c r="G906" s="210"/>
      <c r="H906" s="210"/>
      <c r="I906" s="210"/>
      <c r="J906" s="210"/>
      <c r="K906" s="210"/>
      <c r="L906" s="210"/>
      <c r="M906" s="210"/>
      <c r="N906" s="210"/>
      <c r="O906" s="196"/>
    </row>
    <row r="907" spans="1:15" s="212" customFormat="1" ht="15.75">
      <c r="A907" s="209" t="str">
        <f ca="1">IF(ISNA(VLOOKUP(D907,'Standard Smelter Names'!$B$3:$E$165,4,FALSE)),"",VLOOKUP(D907,'Standard Smelter Names'!$B$3:$E$165,4,FALSE))</f>
        <v/>
      </c>
      <c r="B907" s="210"/>
      <c r="C907" s="211"/>
      <c r="D907" s="211" t="str">
        <f t="shared" si="28"/>
        <v/>
      </c>
      <c r="E907" s="210" t="str">
        <f t="shared" si="29"/>
        <v/>
      </c>
      <c r="F907" s="210"/>
      <c r="G907" s="210"/>
      <c r="H907" s="210"/>
      <c r="I907" s="210"/>
      <c r="J907" s="210"/>
      <c r="K907" s="210"/>
      <c r="L907" s="210"/>
      <c r="M907" s="210"/>
      <c r="N907" s="210"/>
      <c r="O907" s="196"/>
    </row>
    <row r="908" spans="1:15" s="212" customFormat="1" ht="15.75">
      <c r="A908" s="209" t="str">
        <f ca="1">IF(ISNA(VLOOKUP(D908,'Standard Smelter Names'!$B$3:$E$165,4,FALSE)),"",VLOOKUP(D908,'Standard Smelter Names'!$B$3:$E$165,4,FALSE))</f>
        <v/>
      </c>
      <c r="B908" s="210"/>
      <c r="C908" s="211"/>
      <c r="D908" s="211" t="str">
        <f t="shared" si="28"/>
        <v/>
      </c>
      <c r="E908" s="210" t="str">
        <f t="shared" si="29"/>
        <v/>
      </c>
      <c r="F908" s="210"/>
      <c r="G908" s="210"/>
      <c r="H908" s="210"/>
      <c r="I908" s="210"/>
      <c r="J908" s="210"/>
      <c r="K908" s="210"/>
      <c r="L908" s="210"/>
      <c r="M908" s="210"/>
      <c r="N908" s="210"/>
      <c r="O908" s="196"/>
    </row>
    <row r="909" spans="1:15" s="212" customFormat="1" ht="15.75">
      <c r="A909" s="209" t="str">
        <f ca="1">IF(ISNA(VLOOKUP(D909,'Standard Smelter Names'!$B$3:$E$165,4,FALSE)),"",VLOOKUP(D909,'Standard Smelter Names'!$B$3:$E$165,4,FALSE))</f>
        <v/>
      </c>
      <c r="B909" s="210"/>
      <c r="C909" s="211"/>
      <c r="D909" s="211" t="str">
        <f t="shared" si="28"/>
        <v/>
      </c>
      <c r="E909" s="210" t="str">
        <f t="shared" si="29"/>
        <v/>
      </c>
      <c r="F909" s="210"/>
      <c r="G909" s="210"/>
      <c r="H909" s="210"/>
      <c r="I909" s="210"/>
      <c r="J909" s="210"/>
      <c r="K909" s="210"/>
      <c r="L909" s="210"/>
      <c r="M909" s="210"/>
      <c r="N909" s="210"/>
      <c r="O909" s="196"/>
    </row>
    <row r="910" spans="1:15" s="212" customFormat="1" ht="15.75">
      <c r="A910" s="209" t="str">
        <f ca="1">IF(ISNA(VLOOKUP(D910,'Standard Smelter Names'!$B$3:$E$165,4,FALSE)),"",VLOOKUP(D910,'Standard Smelter Names'!$B$3:$E$165,4,FALSE))</f>
        <v/>
      </c>
      <c r="B910" s="210"/>
      <c r="C910" s="211"/>
      <c r="D910" s="211" t="str">
        <f t="shared" si="28"/>
        <v/>
      </c>
      <c r="E910" s="210" t="str">
        <f t="shared" si="29"/>
        <v/>
      </c>
      <c r="F910" s="210"/>
      <c r="G910" s="210"/>
      <c r="H910" s="210"/>
      <c r="I910" s="210"/>
      <c r="J910" s="210"/>
      <c r="K910" s="210"/>
      <c r="L910" s="210"/>
      <c r="M910" s="210"/>
      <c r="N910" s="210"/>
      <c r="O910" s="196"/>
    </row>
    <row r="911" spans="1:15" s="212" customFormat="1" ht="15.75">
      <c r="A911" s="209" t="str">
        <f ca="1">IF(ISNA(VLOOKUP(D911,'Standard Smelter Names'!$B$3:$E$165,4,FALSE)),"",VLOOKUP(D911,'Standard Smelter Names'!$B$3:$E$165,4,FALSE))</f>
        <v/>
      </c>
      <c r="B911" s="210"/>
      <c r="C911" s="211"/>
      <c r="D911" s="211" t="str">
        <f t="shared" si="28"/>
        <v/>
      </c>
      <c r="E911" s="210" t="str">
        <f t="shared" si="29"/>
        <v/>
      </c>
      <c r="F911" s="210"/>
      <c r="G911" s="210"/>
      <c r="H911" s="210"/>
      <c r="I911" s="210"/>
      <c r="J911" s="210"/>
      <c r="K911" s="210"/>
      <c r="L911" s="210"/>
      <c r="M911" s="210"/>
      <c r="N911" s="210"/>
      <c r="O911" s="196"/>
    </row>
    <row r="912" spans="1:15" s="212" customFormat="1" ht="15.75">
      <c r="A912" s="209" t="str">
        <f ca="1">IF(ISNA(VLOOKUP(D912,'Standard Smelter Names'!$B$3:$E$165,4,FALSE)),"",VLOOKUP(D912,'Standard Smelter Names'!$B$3:$E$165,4,FALSE))</f>
        <v/>
      </c>
      <c r="B912" s="210"/>
      <c r="C912" s="211"/>
      <c r="D912" s="211" t="str">
        <f t="shared" si="28"/>
        <v/>
      </c>
      <c r="E912" s="210" t="str">
        <f t="shared" si="29"/>
        <v/>
      </c>
      <c r="F912" s="210"/>
      <c r="G912" s="210"/>
      <c r="H912" s="210"/>
      <c r="I912" s="210"/>
      <c r="J912" s="210"/>
      <c r="K912" s="210"/>
      <c r="L912" s="210"/>
      <c r="M912" s="210"/>
      <c r="N912" s="210"/>
      <c r="O912" s="196"/>
    </row>
    <row r="913" spans="1:15" s="212" customFormat="1" ht="15.75">
      <c r="A913" s="209" t="str">
        <f ca="1">IF(ISNA(VLOOKUP(D913,'Standard Smelter Names'!$B$3:$E$165,4,FALSE)),"",VLOOKUP(D913,'Standard Smelter Names'!$B$3:$E$165,4,FALSE))</f>
        <v/>
      </c>
      <c r="B913" s="210"/>
      <c r="C913" s="211"/>
      <c r="D913" s="211" t="str">
        <f t="shared" si="28"/>
        <v/>
      </c>
      <c r="E913" s="210" t="str">
        <f t="shared" si="29"/>
        <v/>
      </c>
      <c r="F913" s="210"/>
      <c r="G913" s="210"/>
      <c r="H913" s="210"/>
      <c r="I913" s="210"/>
      <c r="J913" s="210"/>
      <c r="K913" s="210"/>
      <c r="L913" s="210"/>
      <c r="M913" s="210"/>
      <c r="N913" s="210"/>
      <c r="O913" s="196"/>
    </row>
    <row r="914" spans="1:15" s="212" customFormat="1" ht="15.75">
      <c r="A914" s="209" t="str">
        <f ca="1">IF(ISNA(VLOOKUP(D914,'Standard Smelter Names'!$B$3:$E$165,4,FALSE)),"",VLOOKUP(D914,'Standard Smelter Names'!$B$3:$E$165,4,FALSE))</f>
        <v/>
      </c>
      <c r="B914" s="210"/>
      <c r="C914" s="211"/>
      <c r="D914" s="211" t="str">
        <f t="shared" si="28"/>
        <v/>
      </c>
      <c r="E914" s="210" t="str">
        <f t="shared" si="29"/>
        <v/>
      </c>
      <c r="F914" s="210"/>
      <c r="G914" s="210"/>
      <c r="H914" s="210"/>
      <c r="I914" s="210"/>
      <c r="J914" s="210"/>
      <c r="K914" s="210"/>
      <c r="L914" s="210"/>
      <c r="M914" s="210"/>
      <c r="N914" s="210"/>
      <c r="O914" s="196"/>
    </row>
    <row r="915" spans="1:15" s="212" customFormat="1" ht="15.75">
      <c r="A915" s="209" t="str">
        <f ca="1">IF(ISNA(VLOOKUP(D915,'Standard Smelter Names'!$B$3:$E$165,4,FALSE)),"",VLOOKUP(D915,'Standard Smelter Names'!$B$3:$E$165,4,FALSE))</f>
        <v/>
      </c>
      <c r="B915" s="210"/>
      <c r="C915" s="211"/>
      <c r="D915" s="211" t="str">
        <f t="shared" si="28"/>
        <v/>
      </c>
      <c r="E915" s="210" t="str">
        <f t="shared" si="29"/>
        <v/>
      </c>
      <c r="F915" s="210"/>
      <c r="G915" s="210"/>
      <c r="H915" s="210"/>
      <c r="I915" s="210"/>
      <c r="J915" s="210"/>
      <c r="K915" s="210"/>
      <c r="L915" s="210"/>
      <c r="M915" s="210"/>
      <c r="N915" s="210"/>
      <c r="O915" s="196"/>
    </row>
    <row r="916" spans="1:15" s="212" customFormat="1" ht="15.75">
      <c r="A916" s="209" t="str">
        <f ca="1">IF(ISNA(VLOOKUP(D916,'Standard Smelter Names'!$B$3:$E$165,4,FALSE)),"",VLOOKUP(D916,'Standard Smelter Names'!$B$3:$E$165,4,FALSE))</f>
        <v/>
      </c>
      <c r="B916" s="210"/>
      <c r="C916" s="211"/>
      <c r="D916" s="211" t="str">
        <f t="shared" si="28"/>
        <v/>
      </c>
      <c r="E916" s="210" t="str">
        <f t="shared" si="29"/>
        <v/>
      </c>
      <c r="F916" s="210"/>
      <c r="G916" s="210"/>
      <c r="H916" s="210"/>
      <c r="I916" s="210"/>
      <c r="J916" s="210"/>
      <c r="K916" s="210"/>
      <c r="L916" s="210"/>
      <c r="M916" s="210"/>
      <c r="N916" s="210"/>
      <c r="O916" s="196"/>
    </row>
    <row r="917" spans="1:15" s="212" customFormat="1" ht="15.75">
      <c r="A917" s="209" t="str">
        <f ca="1">IF(ISNA(VLOOKUP(D917,'Standard Smelter Names'!$B$3:$E$165,4,FALSE)),"",VLOOKUP(D917,'Standard Smelter Names'!$B$3:$E$165,4,FALSE))</f>
        <v/>
      </c>
      <c r="B917" s="210"/>
      <c r="C917" s="211"/>
      <c r="D917" s="211" t="str">
        <f t="shared" si="28"/>
        <v/>
      </c>
      <c r="E917" s="210" t="str">
        <f t="shared" si="29"/>
        <v/>
      </c>
      <c r="F917" s="210"/>
      <c r="G917" s="210"/>
      <c r="H917" s="210"/>
      <c r="I917" s="210"/>
      <c r="J917" s="210"/>
      <c r="K917" s="210"/>
      <c r="L917" s="210"/>
      <c r="M917" s="210"/>
      <c r="N917" s="210"/>
      <c r="O917" s="196"/>
    </row>
    <row r="918" spans="1:15" s="212" customFormat="1" ht="15.75">
      <c r="A918" s="209" t="str">
        <f ca="1">IF(ISNA(VLOOKUP(D918,'Standard Smelter Names'!$B$3:$E$165,4,FALSE)),"",VLOOKUP(D918,'Standard Smelter Names'!$B$3:$E$165,4,FALSE))</f>
        <v/>
      </c>
      <c r="B918" s="210"/>
      <c r="C918" s="211"/>
      <c r="D918" s="211" t="str">
        <f t="shared" si="28"/>
        <v/>
      </c>
      <c r="E918" s="210" t="str">
        <f t="shared" si="29"/>
        <v/>
      </c>
      <c r="F918" s="210"/>
      <c r="G918" s="210"/>
      <c r="H918" s="210"/>
      <c r="I918" s="210"/>
      <c r="J918" s="210"/>
      <c r="K918" s="210"/>
      <c r="L918" s="210"/>
      <c r="M918" s="210"/>
      <c r="N918" s="210"/>
      <c r="O918" s="196"/>
    </row>
    <row r="919" spans="1:15" s="212" customFormat="1" ht="15.75">
      <c r="A919" s="209" t="str">
        <f ca="1">IF(ISNA(VLOOKUP(D919,'Standard Smelter Names'!$B$3:$E$165,4,FALSE)),"",VLOOKUP(D919,'Standard Smelter Names'!$B$3:$E$165,4,FALSE))</f>
        <v/>
      </c>
      <c r="B919" s="210"/>
      <c r="C919" s="211"/>
      <c r="D919" s="211" t="str">
        <f t="shared" si="28"/>
        <v/>
      </c>
      <c r="E919" s="210" t="str">
        <f t="shared" si="29"/>
        <v/>
      </c>
      <c r="F919" s="210"/>
      <c r="G919" s="210"/>
      <c r="H919" s="210"/>
      <c r="I919" s="210"/>
      <c r="J919" s="210"/>
      <c r="K919" s="210"/>
      <c r="L919" s="210"/>
      <c r="M919" s="210"/>
      <c r="N919" s="210"/>
      <c r="O919" s="196"/>
    </row>
    <row r="920" spans="1:15" s="212" customFormat="1" ht="15.75">
      <c r="A920" s="209" t="str">
        <f ca="1">IF(ISNA(VLOOKUP(D920,'Standard Smelter Names'!$B$3:$E$165,4,FALSE)),"",VLOOKUP(D920,'Standard Smelter Names'!$B$3:$E$165,4,FALSE))</f>
        <v/>
      </c>
      <c r="B920" s="210"/>
      <c r="C920" s="211"/>
      <c r="D920" s="211" t="str">
        <f t="shared" si="28"/>
        <v/>
      </c>
      <c r="E920" s="210" t="str">
        <f t="shared" si="29"/>
        <v/>
      </c>
      <c r="F920" s="210"/>
      <c r="G920" s="210"/>
      <c r="H920" s="210"/>
      <c r="I920" s="210"/>
      <c r="J920" s="210"/>
      <c r="K920" s="210"/>
      <c r="L920" s="210"/>
      <c r="M920" s="210"/>
      <c r="N920" s="210"/>
      <c r="O920" s="196"/>
    </row>
    <row r="921" spans="1:15" s="212" customFormat="1" ht="15.75">
      <c r="A921" s="209" t="str">
        <f ca="1">IF(ISNA(VLOOKUP(D921,'Standard Smelter Names'!$B$3:$E$165,4,FALSE)),"",VLOOKUP(D921,'Standard Smelter Names'!$B$3:$E$165,4,FALSE))</f>
        <v/>
      </c>
      <c r="B921" s="210"/>
      <c r="C921" s="211"/>
      <c r="D921" s="211" t="str">
        <f t="shared" si="28"/>
        <v/>
      </c>
      <c r="E921" s="210" t="str">
        <f t="shared" si="29"/>
        <v/>
      </c>
      <c r="F921" s="210"/>
      <c r="G921" s="210"/>
      <c r="H921" s="210"/>
      <c r="I921" s="210"/>
      <c r="J921" s="210"/>
      <c r="K921" s="210"/>
      <c r="L921" s="210"/>
      <c r="M921" s="210"/>
      <c r="N921" s="210"/>
      <c r="O921" s="196"/>
    </row>
    <row r="922" spans="1:15" s="212" customFormat="1" ht="15.75">
      <c r="A922" s="209" t="str">
        <f ca="1">IF(ISNA(VLOOKUP(D922,'Standard Smelter Names'!$B$3:$E$165,4,FALSE)),"",VLOOKUP(D922,'Standard Smelter Names'!$B$3:$E$165,4,FALSE))</f>
        <v/>
      </c>
      <c r="B922" s="210"/>
      <c r="C922" s="211"/>
      <c r="D922" s="211" t="str">
        <f t="shared" si="28"/>
        <v/>
      </c>
      <c r="E922" s="210" t="str">
        <f t="shared" si="29"/>
        <v/>
      </c>
      <c r="F922" s="210"/>
      <c r="G922" s="210"/>
      <c r="H922" s="210"/>
      <c r="I922" s="210"/>
      <c r="J922" s="210"/>
      <c r="K922" s="210"/>
      <c r="L922" s="210"/>
      <c r="M922" s="210"/>
      <c r="N922" s="210"/>
      <c r="O922" s="196"/>
    </row>
    <row r="923" spans="1:15" s="212" customFormat="1" ht="15.75">
      <c r="A923" s="209" t="str">
        <f ca="1">IF(ISNA(VLOOKUP(D923,'Standard Smelter Names'!$B$3:$E$165,4,FALSE)),"",VLOOKUP(D923,'Standard Smelter Names'!$B$3:$E$165,4,FALSE))</f>
        <v/>
      </c>
      <c r="B923" s="210"/>
      <c r="C923" s="211"/>
      <c r="D923" s="211" t="str">
        <f t="shared" si="28"/>
        <v/>
      </c>
      <c r="E923" s="210" t="str">
        <f t="shared" si="29"/>
        <v/>
      </c>
      <c r="F923" s="210"/>
      <c r="G923" s="210"/>
      <c r="H923" s="210"/>
      <c r="I923" s="210"/>
      <c r="J923" s="210"/>
      <c r="K923" s="210"/>
      <c r="L923" s="210"/>
      <c r="M923" s="210"/>
      <c r="N923" s="210"/>
      <c r="O923" s="196"/>
    </row>
    <row r="924" spans="1:15" s="212" customFormat="1" ht="15.75">
      <c r="A924" s="209" t="str">
        <f ca="1">IF(ISNA(VLOOKUP(D924,'Standard Smelter Names'!$B$3:$E$165,4,FALSE)),"",VLOOKUP(D924,'Standard Smelter Names'!$B$3:$E$165,4,FALSE))</f>
        <v/>
      </c>
      <c r="B924" s="210"/>
      <c r="C924" s="211"/>
      <c r="D924" s="211" t="str">
        <f t="shared" si="28"/>
        <v/>
      </c>
      <c r="E924" s="210" t="str">
        <f t="shared" si="29"/>
        <v/>
      </c>
      <c r="F924" s="210"/>
      <c r="G924" s="210"/>
      <c r="H924" s="210"/>
      <c r="I924" s="210"/>
      <c r="J924" s="210"/>
      <c r="K924" s="210"/>
      <c r="L924" s="210"/>
      <c r="M924" s="210"/>
      <c r="N924" s="210"/>
      <c r="O924" s="196"/>
    </row>
    <row r="925" spans="1:15" s="212" customFormat="1" ht="15.75">
      <c r="A925" s="209" t="str">
        <f ca="1">IF(ISNA(VLOOKUP(D925,'Standard Smelter Names'!$B$3:$E$165,4,FALSE)),"",VLOOKUP(D925,'Standard Smelter Names'!$B$3:$E$165,4,FALSE))</f>
        <v/>
      </c>
      <c r="B925" s="210"/>
      <c r="C925" s="211"/>
      <c r="D925" s="211" t="str">
        <f t="shared" si="28"/>
        <v/>
      </c>
      <c r="E925" s="210" t="str">
        <f t="shared" si="29"/>
        <v/>
      </c>
      <c r="F925" s="210"/>
      <c r="G925" s="210"/>
      <c r="H925" s="210"/>
      <c r="I925" s="210"/>
      <c r="J925" s="210"/>
      <c r="K925" s="210"/>
      <c r="L925" s="210"/>
      <c r="M925" s="210"/>
      <c r="N925" s="210"/>
      <c r="O925" s="196"/>
    </row>
    <row r="926" spans="1:15" s="212" customFormat="1" ht="15.75">
      <c r="A926" s="209" t="str">
        <f ca="1">IF(ISNA(VLOOKUP(D926,'Standard Smelter Names'!$B$3:$E$165,4,FALSE)),"",VLOOKUP(D926,'Standard Smelter Names'!$B$3:$E$165,4,FALSE))</f>
        <v/>
      </c>
      <c r="B926" s="210"/>
      <c r="C926" s="211"/>
      <c r="D926" s="211" t="str">
        <f t="shared" si="28"/>
        <v/>
      </c>
      <c r="E926" s="210" t="str">
        <f t="shared" si="29"/>
        <v/>
      </c>
      <c r="F926" s="210"/>
      <c r="G926" s="210"/>
      <c r="H926" s="210"/>
      <c r="I926" s="210"/>
      <c r="J926" s="210"/>
      <c r="K926" s="210"/>
      <c r="L926" s="210"/>
      <c r="M926" s="210"/>
      <c r="N926" s="210"/>
      <c r="O926" s="196"/>
    </row>
    <row r="927" spans="1:15" s="212" customFormat="1" ht="15.75">
      <c r="A927" s="209" t="str">
        <f ca="1">IF(ISNA(VLOOKUP(D927,'Standard Smelter Names'!$B$3:$E$165,4,FALSE)),"",VLOOKUP(D927,'Standard Smelter Names'!$B$3:$E$165,4,FALSE))</f>
        <v/>
      </c>
      <c r="B927" s="210"/>
      <c r="C927" s="211"/>
      <c r="D927" s="211" t="str">
        <f t="shared" si="28"/>
        <v/>
      </c>
      <c r="E927" s="210" t="str">
        <f t="shared" si="29"/>
        <v/>
      </c>
      <c r="F927" s="210"/>
      <c r="G927" s="210"/>
      <c r="H927" s="210"/>
      <c r="I927" s="210"/>
      <c r="J927" s="210"/>
      <c r="K927" s="210"/>
      <c r="L927" s="210"/>
      <c r="M927" s="210"/>
      <c r="N927" s="210"/>
      <c r="O927" s="196"/>
    </row>
    <row r="928" spans="1:15" s="212" customFormat="1" ht="15.75">
      <c r="A928" s="209" t="str">
        <f ca="1">IF(ISNA(VLOOKUP(D928,'Standard Smelter Names'!$B$3:$E$165,4,FALSE)),"",VLOOKUP(D928,'Standard Smelter Names'!$B$3:$E$165,4,FALSE))</f>
        <v/>
      </c>
      <c r="B928" s="210"/>
      <c r="C928" s="211"/>
      <c r="D928" s="211" t="str">
        <f t="shared" si="28"/>
        <v/>
      </c>
      <c r="E928" s="210" t="str">
        <f t="shared" si="29"/>
        <v/>
      </c>
      <c r="F928" s="210"/>
      <c r="G928" s="210"/>
      <c r="H928" s="210"/>
      <c r="I928" s="210"/>
      <c r="J928" s="210"/>
      <c r="K928" s="210"/>
      <c r="L928" s="210"/>
      <c r="M928" s="210"/>
      <c r="N928" s="210"/>
      <c r="O928" s="196"/>
    </row>
    <row r="929" spans="1:15" s="212" customFormat="1" ht="15.75">
      <c r="A929" s="209" t="str">
        <f ca="1">IF(ISNA(VLOOKUP(D929,'Standard Smelter Names'!$B$3:$E$165,4,FALSE)),"",VLOOKUP(D929,'Standard Smelter Names'!$B$3:$E$165,4,FALSE))</f>
        <v/>
      </c>
      <c r="B929" s="210"/>
      <c r="C929" s="211"/>
      <c r="D929" s="211" t="str">
        <f t="shared" si="28"/>
        <v/>
      </c>
      <c r="E929" s="210" t="str">
        <f t="shared" si="29"/>
        <v/>
      </c>
      <c r="F929" s="210"/>
      <c r="G929" s="210"/>
      <c r="H929" s="210"/>
      <c r="I929" s="210"/>
      <c r="J929" s="210"/>
      <c r="K929" s="210"/>
      <c r="L929" s="210"/>
      <c r="M929" s="210"/>
      <c r="N929" s="210"/>
      <c r="O929" s="196"/>
    </row>
    <row r="930" spans="1:15" s="212" customFormat="1" ht="15.75">
      <c r="A930" s="209" t="str">
        <f ca="1">IF(ISNA(VLOOKUP(D930,'Standard Smelter Names'!$B$3:$E$165,4,FALSE)),"",VLOOKUP(D930,'Standard Smelter Names'!$B$3:$E$165,4,FALSE))</f>
        <v/>
      </c>
      <c r="B930" s="210"/>
      <c r="C930" s="211"/>
      <c r="D930" s="211" t="str">
        <f t="shared" si="28"/>
        <v/>
      </c>
      <c r="E930" s="210" t="str">
        <f t="shared" si="29"/>
        <v/>
      </c>
      <c r="F930" s="210"/>
      <c r="G930" s="210"/>
      <c r="H930" s="210"/>
      <c r="I930" s="210"/>
      <c r="J930" s="210"/>
      <c r="K930" s="210"/>
      <c r="L930" s="210"/>
      <c r="M930" s="210"/>
      <c r="N930" s="210"/>
      <c r="O930" s="196"/>
    </row>
    <row r="931" spans="1:15" s="212" customFormat="1" ht="15.75">
      <c r="A931" s="209" t="str">
        <f ca="1">IF(ISNA(VLOOKUP(D931,'Standard Smelter Names'!$B$3:$E$165,4,FALSE)),"",VLOOKUP(D931,'Standard Smelter Names'!$B$3:$E$165,4,FALSE))</f>
        <v/>
      </c>
      <c r="B931" s="210"/>
      <c r="C931" s="211"/>
      <c r="D931" s="211" t="str">
        <f t="shared" si="28"/>
        <v/>
      </c>
      <c r="E931" s="210" t="str">
        <f t="shared" si="29"/>
        <v/>
      </c>
      <c r="F931" s="210"/>
      <c r="G931" s="210"/>
      <c r="H931" s="210"/>
      <c r="I931" s="210"/>
      <c r="J931" s="210"/>
      <c r="K931" s="210"/>
      <c r="L931" s="210"/>
      <c r="M931" s="210"/>
      <c r="N931" s="210"/>
      <c r="O931" s="196"/>
    </row>
    <row r="932" spans="1:15" s="212" customFormat="1" ht="15.75">
      <c r="A932" s="209" t="str">
        <f ca="1">IF(ISNA(VLOOKUP(D932,'Standard Smelter Names'!$B$3:$E$165,4,FALSE)),"",VLOOKUP(D932,'Standard Smelter Names'!$B$3:$E$165,4,FALSE))</f>
        <v/>
      </c>
      <c r="B932" s="210"/>
      <c r="C932" s="211"/>
      <c r="D932" s="211" t="str">
        <f t="shared" si="28"/>
        <v/>
      </c>
      <c r="E932" s="210" t="str">
        <f t="shared" si="29"/>
        <v/>
      </c>
      <c r="F932" s="210"/>
      <c r="G932" s="210"/>
      <c r="H932" s="210"/>
      <c r="I932" s="210"/>
      <c r="J932" s="210"/>
      <c r="K932" s="210"/>
      <c r="L932" s="210"/>
      <c r="M932" s="210"/>
      <c r="N932" s="210"/>
      <c r="O932" s="196"/>
    </row>
    <row r="933" spans="1:15" s="212" customFormat="1" ht="15.75">
      <c r="A933" s="209" t="str">
        <f ca="1">IF(ISNA(VLOOKUP(D933,'Standard Smelter Names'!$B$3:$E$165,4,FALSE)),"",VLOOKUP(D933,'Standard Smelter Names'!$B$3:$E$165,4,FALSE))</f>
        <v/>
      </c>
      <c r="B933" s="210"/>
      <c r="C933" s="211"/>
      <c r="D933" s="211" t="str">
        <f t="shared" si="28"/>
        <v/>
      </c>
      <c r="E933" s="210" t="str">
        <f t="shared" si="29"/>
        <v/>
      </c>
      <c r="F933" s="210"/>
      <c r="G933" s="210"/>
      <c r="H933" s="210"/>
      <c r="I933" s="210"/>
      <c r="J933" s="210"/>
      <c r="K933" s="210"/>
      <c r="L933" s="210"/>
      <c r="M933" s="210"/>
      <c r="N933" s="210"/>
      <c r="O933" s="196"/>
    </row>
    <row r="934" spans="1:15" s="212" customFormat="1" ht="15.75">
      <c r="A934" s="209" t="str">
        <f ca="1">IF(ISNA(VLOOKUP(D934,'Standard Smelter Names'!$B$3:$E$165,4,FALSE)),"",VLOOKUP(D934,'Standard Smelter Names'!$B$3:$E$165,4,FALSE))</f>
        <v/>
      </c>
      <c r="B934" s="210"/>
      <c r="C934" s="211"/>
      <c r="D934" s="211" t="str">
        <f t="shared" si="28"/>
        <v/>
      </c>
      <c r="E934" s="210" t="str">
        <f t="shared" si="29"/>
        <v/>
      </c>
      <c r="F934" s="210"/>
      <c r="G934" s="210"/>
      <c r="H934" s="210"/>
      <c r="I934" s="210"/>
      <c r="J934" s="210"/>
      <c r="K934" s="210"/>
      <c r="L934" s="210"/>
      <c r="M934" s="210"/>
      <c r="N934" s="210"/>
      <c r="O934" s="196"/>
    </row>
    <row r="935" spans="1:15" s="212" customFormat="1" ht="15.75">
      <c r="A935" s="209" t="str">
        <f ca="1">IF(ISNA(VLOOKUP(D935,'Standard Smelter Names'!$B$3:$E$165,4,FALSE)),"",VLOOKUP(D935,'Standard Smelter Names'!$B$3:$E$165,4,FALSE))</f>
        <v/>
      </c>
      <c r="B935" s="210"/>
      <c r="C935" s="211"/>
      <c r="D935" s="211" t="str">
        <f t="shared" si="28"/>
        <v/>
      </c>
      <c r="E935" s="210" t="str">
        <f t="shared" si="29"/>
        <v/>
      </c>
      <c r="F935" s="210"/>
      <c r="G935" s="210"/>
      <c r="H935" s="210"/>
      <c r="I935" s="210"/>
      <c r="J935" s="210"/>
      <c r="K935" s="210"/>
      <c r="L935" s="210"/>
      <c r="M935" s="210"/>
      <c r="N935" s="210"/>
      <c r="O935" s="196"/>
    </row>
    <row r="936" spans="1:15" s="212" customFormat="1" ht="15.75">
      <c r="A936" s="209" t="str">
        <f ca="1">IF(ISNA(VLOOKUP(D936,'Standard Smelter Names'!$B$3:$E$165,4,FALSE)),"",VLOOKUP(D936,'Standard Smelter Names'!$B$3:$E$165,4,FALSE))</f>
        <v/>
      </c>
      <c r="B936" s="210"/>
      <c r="C936" s="211"/>
      <c r="D936" s="211" t="str">
        <f t="shared" si="28"/>
        <v/>
      </c>
      <c r="E936" s="210" t="str">
        <f t="shared" si="29"/>
        <v/>
      </c>
      <c r="F936" s="210"/>
      <c r="G936" s="210"/>
      <c r="H936" s="210"/>
      <c r="I936" s="210"/>
      <c r="J936" s="210"/>
      <c r="K936" s="210"/>
      <c r="L936" s="210"/>
      <c r="M936" s="210"/>
      <c r="N936" s="210"/>
      <c r="O936" s="196"/>
    </row>
    <row r="937" spans="1:15" s="212" customFormat="1" ht="15.75">
      <c r="A937" s="209" t="str">
        <f ca="1">IF(ISNA(VLOOKUP(D937,'Standard Smelter Names'!$B$3:$E$165,4,FALSE)),"",VLOOKUP(D937,'Standard Smelter Names'!$B$3:$E$165,4,FALSE))</f>
        <v/>
      </c>
      <c r="B937" s="210"/>
      <c r="C937" s="211"/>
      <c r="D937" s="211" t="str">
        <f t="shared" si="28"/>
        <v/>
      </c>
      <c r="E937" s="210" t="str">
        <f t="shared" si="29"/>
        <v/>
      </c>
      <c r="F937" s="210"/>
      <c r="G937" s="210"/>
      <c r="H937" s="210"/>
      <c r="I937" s="210"/>
      <c r="J937" s="210"/>
      <c r="K937" s="210"/>
      <c r="L937" s="210"/>
      <c r="M937" s="210"/>
      <c r="N937" s="210"/>
      <c r="O937" s="196"/>
    </row>
    <row r="938" spans="1:15" s="212" customFormat="1" ht="15.75">
      <c r="A938" s="209" t="str">
        <f ca="1">IF(ISNA(VLOOKUP(D938,'Standard Smelter Names'!$B$3:$E$165,4,FALSE)),"",VLOOKUP(D938,'Standard Smelter Names'!$B$3:$E$165,4,FALSE))</f>
        <v/>
      </c>
      <c r="B938" s="210"/>
      <c r="C938" s="211"/>
      <c r="D938" s="211" t="str">
        <f t="shared" si="28"/>
        <v/>
      </c>
      <c r="E938" s="210" t="str">
        <f t="shared" si="29"/>
        <v/>
      </c>
      <c r="F938" s="210"/>
      <c r="G938" s="210"/>
      <c r="H938" s="210"/>
      <c r="I938" s="210"/>
      <c r="J938" s="210"/>
      <c r="K938" s="210"/>
      <c r="L938" s="210"/>
      <c r="M938" s="210"/>
      <c r="N938" s="210"/>
      <c r="O938" s="196"/>
    </row>
    <row r="939" spans="1:15" s="212" customFormat="1" ht="15.75">
      <c r="A939" s="209" t="str">
        <f ca="1">IF(ISNA(VLOOKUP(D939,'Standard Smelter Names'!$B$3:$E$165,4,FALSE)),"",VLOOKUP(D939,'Standard Smelter Names'!$B$3:$E$165,4,FALSE))</f>
        <v/>
      </c>
      <c r="B939" s="210"/>
      <c r="C939" s="211"/>
      <c r="D939" s="211" t="str">
        <f t="shared" si="28"/>
        <v/>
      </c>
      <c r="E939" s="210" t="str">
        <f t="shared" si="29"/>
        <v/>
      </c>
      <c r="F939" s="210"/>
      <c r="G939" s="210"/>
      <c r="H939" s="210"/>
      <c r="I939" s="210"/>
      <c r="J939" s="210"/>
      <c r="K939" s="210"/>
      <c r="L939" s="210"/>
      <c r="M939" s="210"/>
      <c r="N939" s="210"/>
      <c r="O939" s="196"/>
    </row>
    <row r="940" spans="1:15" s="212" customFormat="1" ht="15.75">
      <c r="A940" s="209" t="str">
        <f ca="1">IF(ISNA(VLOOKUP(D940,'Standard Smelter Names'!$B$3:$E$165,4,FALSE)),"",VLOOKUP(D940,'Standard Smelter Names'!$B$3:$E$165,4,FALSE))</f>
        <v/>
      </c>
      <c r="B940" s="210"/>
      <c r="C940" s="211"/>
      <c r="D940" s="211" t="str">
        <f t="shared" si="28"/>
        <v/>
      </c>
      <c r="E940" s="210" t="str">
        <f t="shared" si="29"/>
        <v/>
      </c>
      <c r="F940" s="210"/>
      <c r="G940" s="210"/>
      <c r="H940" s="210"/>
      <c r="I940" s="210"/>
      <c r="J940" s="210"/>
      <c r="K940" s="210"/>
      <c r="L940" s="210"/>
      <c r="M940" s="210"/>
      <c r="N940" s="210"/>
      <c r="O940" s="196"/>
    </row>
    <row r="941" spans="1:15" s="212" customFormat="1" ht="15.75">
      <c r="A941" s="209" t="str">
        <f ca="1">IF(ISNA(VLOOKUP(D941,'Standard Smelter Names'!$B$3:$E$165,4,FALSE)),"",VLOOKUP(D941,'Standard Smelter Names'!$B$3:$E$165,4,FALSE))</f>
        <v/>
      </c>
      <c r="B941" s="210"/>
      <c r="C941" s="211"/>
      <c r="D941" s="211" t="str">
        <f t="shared" si="28"/>
        <v/>
      </c>
      <c r="E941" s="210" t="str">
        <f t="shared" si="29"/>
        <v/>
      </c>
      <c r="F941" s="210"/>
      <c r="G941" s="210"/>
      <c r="H941" s="210"/>
      <c r="I941" s="210"/>
      <c r="J941" s="210"/>
      <c r="K941" s="210"/>
      <c r="L941" s="210"/>
      <c r="M941" s="210"/>
      <c r="N941" s="210"/>
      <c r="O941" s="196"/>
    </row>
    <row r="942" spans="1:15" s="212" customFormat="1" ht="15.75">
      <c r="A942" s="209" t="str">
        <f ca="1">IF(ISNA(VLOOKUP(D942,'Standard Smelter Names'!$B$3:$E$165,4,FALSE)),"",VLOOKUP(D942,'Standard Smelter Names'!$B$3:$E$165,4,FALSE))</f>
        <v/>
      </c>
      <c r="B942" s="210"/>
      <c r="C942" s="211"/>
      <c r="D942" s="211" t="str">
        <f t="shared" si="28"/>
        <v/>
      </c>
      <c r="E942" s="210" t="str">
        <f t="shared" si="29"/>
        <v/>
      </c>
      <c r="F942" s="210"/>
      <c r="G942" s="210"/>
      <c r="H942" s="210"/>
      <c r="I942" s="210"/>
      <c r="J942" s="210"/>
      <c r="K942" s="210"/>
      <c r="L942" s="210"/>
      <c r="M942" s="210"/>
      <c r="N942" s="210"/>
      <c r="O942" s="196"/>
    </row>
    <row r="943" spans="1:15" s="212" customFormat="1" ht="15.75">
      <c r="A943" s="209" t="str">
        <f ca="1">IF(ISNA(VLOOKUP(D943,'Standard Smelter Names'!$B$3:$E$165,4,FALSE)),"",VLOOKUP(D943,'Standard Smelter Names'!$B$3:$E$165,4,FALSE))</f>
        <v/>
      </c>
      <c r="B943" s="210"/>
      <c r="C943" s="211"/>
      <c r="D943" s="211" t="str">
        <f t="shared" si="28"/>
        <v/>
      </c>
      <c r="E943" s="210" t="str">
        <f t="shared" si="29"/>
        <v/>
      </c>
      <c r="F943" s="210"/>
      <c r="G943" s="210"/>
      <c r="H943" s="210"/>
      <c r="I943" s="210"/>
      <c r="J943" s="210"/>
      <c r="K943" s="210"/>
      <c r="L943" s="210"/>
      <c r="M943" s="210"/>
      <c r="N943" s="210"/>
      <c r="O943" s="196"/>
    </row>
    <row r="944" spans="1:15" s="212" customFormat="1" ht="15.75">
      <c r="A944" s="209" t="str">
        <f ca="1">IF(ISNA(VLOOKUP(D944,'Standard Smelter Names'!$B$3:$E$165,4,FALSE)),"",VLOOKUP(D944,'Standard Smelter Names'!$B$3:$E$165,4,FALSE))</f>
        <v/>
      </c>
      <c r="B944" s="210"/>
      <c r="C944" s="211"/>
      <c r="D944" s="211" t="str">
        <f t="shared" si="28"/>
        <v/>
      </c>
      <c r="E944" s="210" t="str">
        <f t="shared" si="29"/>
        <v/>
      </c>
      <c r="F944" s="210"/>
      <c r="G944" s="210"/>
      <c r="H944" s="210"/>
      <c r="I944" s="210"/>
      <c r="J944" s="210"/>
      <c r="K944" s="210"/>
      <c r="L944" s="210"/>
      <c r="M944" s="210"/>
      <c r="N944" s="210"/>
      <c r="O944" s="196"/>
    </row>
    <row r="945" spans="1:15" s="212" customFormat="1" ht="15.75">
      <c r="A945" s="209" t="str">
        <f ca="1">IF(ISNA(VLOOKUP(D945,'Standard Smelter Names'!$B$3:$E$165,4,FALSE)),"",VLOOKUP(D945,'Standard Smelter Names'!$B$3:$E$165,4,FALSE))</f>
        <v/>
      </c>
      <c r="B945" s="210"/>
      <c r="C945" s="211"/>
      <c r="D945" s="211" t="str">
        <f t="shared" si="28"/>
        <v/>
      </c>
      <c r="E945" s="210" t="str">
        <f t="shared" si="29"/>
        <v/>
      </c>
      <c r="F945" s="210"/>
      <c r="G945" s="210"/>
      <c r="H945" s="210"/>
      <c r="I945" s="210"/>
      <c r="J945" s="210"/>
      <c r="K945" s="210"/>
      <c r="L945" s="210"/>
      <c r="M945" s="210"/>
      <c r="N945" s="210"/>
      <c r="O945" s="196"/>
    </row>
    <row r="946" spans="1:15" s="212" customFormat="1" ht="15.75">
      <c r="A946" s="209" t="str">
        <f ca="1">IF(ISNA(VLOOKUP(D946,'Standard Smelter Names'!$B$3:$E$165,4,FALSE)),"",VLOOKUP(D946,'Standard Smelter Names'!$B$3:$E$165,4,FALSE))</f>
        <v/>
      </c>
      <c r="B946" s="210"/>
      <c r="C946" s="211"/>
      <c r="D946" s="211" t="str">
        <f t="shared" si="28"/>
        <v/>
      </c>
      <c r="E946" s="210" t="str">
        <f t="shared" si="29"/>
        <v/>
      </c>
      <c r="F946" s="210"/>
      <c r="G946" s="210"/>
      <c r="H946" s="210"/>
      <c r="I946" s="210"/>
      <c r="J946" s="210"/>
      <c r="K946" s="210"/>
      <c r="L946" s="210"/>
      <c r="M946" s="210"/>
      <c r="N946" s="210"/>
      <c r="O946" s="196"/>
    </row>
    <row r="947" spans="1:15" s="212" customFormat="1" ht="15.75">
      <c r="A947" s="209" t="str">
        <f ca="1">IF(ISNA(VLOOKUP(D947,'Standard Smelter Names'!$B$3:$E$165,4,FALSE)),"",VLOOKUP(D947,'Standard Smelter Names'!$B$3:$E$165,4,FALSE))</f>
        <v/>
      </c>
      <c r="B947" s="210"/>
      <c r="C947" s="211"/>
      <c r="D947" s="211" t="str">
        <f t="shared" si="28"/>
        <v/>
      </c>
      <c r="E947" s="210" t="str">
        <f t="shared" si="29"/>
        <v/>
      </c>
      <c r="F947" s="210"/>
      <c r="G947" s="210"/>
      <c r="H947" s="210"/>
      <c r="I947" s="210"/>
      <c r="J947" s="210"/>
      <c r="K947" s="210"/>
      <c r="L947" s="210"/>
      <c r="M947" s="210"/>
      <c r="N947" s="210"/>
      <c r="O947" s="196"/>
    </row>
    <row r="948" spans="1:15" s="212" customFormat="1" ht="15.75">
      <c r="A948" s="209" t="str">
        <f ca="1">IF(ISNA(VLOOKUP(D948,'Standard Smelter Names'!$B$3:$E$165,4,FALSE)),"",VLOOKUP(D948,'Standard Smelter Names'!$B$3:$E$165,4,FALSE))</f>
        <v/>
      </c>
      <c r="B948" s="210"/>
      <c r="C948" s="211"/>
      <c r="D948" s="211" t="str">
        <f t="shared" si="28"/>
        <v/>
      </c>
      <c r="E948" s="210" t="str">
        <f t="shared" si="29"/>
        <v/>
      </c>
      <c r="F948" s="210"/>
      <c r="G948" s="210"/>
      <c r="H948" s="210"/>
      <c r="I948" s="210"/>
      <c r="J948" s="210"/>
      <c r="K948" s="210"/>
      <c r="L948" s="210"/>
      <c r="M948" s="210"/>
      <c r="N948" s="210"/>
      <c r="O948" s="196"/>
    </row>
    <row r="949" spans="1:15" s="212" customFormat="1" ht="15.75">
      <c r="A949" s="209" t="str">
        <f ca="1">IF(ISNA(VLOOKUP(D949,'Standard Smelter Names'!$B$3:$E$165,4,FALSE)),"",VLOOKUP(D949,'Standard Smelter Names'!$B$3:$E$165,4,FALSE))</f>
        <v/>
      </c>
      <c r="B949" s="210"/>
      <c r="C949" s="211"/>
      <c r="D949" s="211" t="str">
        <f t="shared" si="28"/>
        <v/>
      </c>
      <c r="E949" s="210" t="str">
        <f t="shared" si="29"/>
        <v/>
      </c>
      <c r="F949" s="210"/>
      <c r="G949" s="210"/>
      <c r="H949" s="210"/>
      <c r="I949" s="210"/>
      <c r="J949" s="210"/>
      <c r="K949" s="210"/>
      <c r="L949" s="210"/>
      <c r="M949" s="210"/>
      <c r="N949" s="210"/>
      <c r="O949" s="196"/>
    </row>
    <row r="950" spans="1:15" s="212" customFormat="1" ht="15.75">
      <c r="A950" s="209" t="str">
        <f ca="1">IF(ISNA(VLOOKUP(D950,'Standard Smelter Names'!$B$3:$E$165,4,FALSE)),"",VLOOKUP(D950,'Standard Smelter Names'!$B$3:$E$165,4,FALSE))</f>
        <v/>
      </c>
      <c r="B950" s="210"/>
      <c r="C950" s="211"/>
      <c r="D950" s="211" t="str">
        <f t="shared" si="28"/>
        <v/>
      </c>
      <c r="E950" s="210" t="str">
        <f t="shared" si="29"/>
        <v/>
      </c>
      <c r="F950" s="210"/>
      <c r="G950" s="210"/>
      <c r="H950" s="210"/>
      <c r="I950" s="210"/>
      <c r="J950" s="210"/>
      <c r="K950" s="210"/>
      <c r="L950" s="210"/>
      <c r="M950" s="210"/>
      <c r="N950" s="210"/>
      <c r="O950" s="196"/>
    </row>
    <row r="951" spans="1:15" s="212" customFormat="1" ht="15.75">
      <c r="A951" s="209" t="str">
        <f ca="1">IF(ISNA(VLOOKUP(D951,'Standard Smelter Names'!$B$3:$E$165,4,FALSE)),"",VLOOKUP(D951,'Standard Smelter Names'!$B$3:$E$165,4,FALSE))</f>
        <v/>
      </c>
      <c r="B951" s="210"/>
      <c r="C951" s="211"/>
      <c r="D951" s="211" t="str">
        <f t="shared" si="28"/>
        <v/>
      </c>
      <c r="E951" s="210" t="str">
        <f t="shared" si="29"/>
        <v/>
      </c>
      <c r="F951" s="210"/>
      <c r="G951" s="210"/>
      <c r="H951" s="210"/>
      <c r="I951" s="210"/>
      <c r="J951" s="210"/>
      <c r="K951" s="210"/>
      <c r="L951" s="210"/>
      <c r="M951" s="210"/>
      <c r="N951" s="210"/>
      <c r="O951" s="196"/>
    </row>
    <row r="952" spans="1:15" s="212" customFormat="1" ht="15.75">
      <c r="A952" s="209" t="str">
        <f ca="1">IF(ISNA(VLOOKUP(D952,'Standard Smelter Names'!$B$3:$E$165,4,FALSE)),"",VLOOKUP(D952,'Standard Smelter Names'!$B$3:$E$165,4,FALSE))</f>
        <v/>
      </c>
      <c r="B952" s="210"/>
      <c r="C952" s="211"/>
      <c r="D952" s="211" t="str">
        <f t="shared" si="28"/>
        <v/>
      </c>
      <c r="E952" s="210" t="str">
        <f t="shared" si="29"/>
        <v/>
      </c>
      <c r="F952" s="210"/>
      <c r="G952" s="210"/>
      <c r="H952" s="210"/>
      <c r="I952" s="210"/>
      <c r="J952" s="210"/>
      <c r="K952" s="210"/>
      <c r="L952" s="210"/>
      <c r="M952" s="210"/>
      <c r="N952" s="210"/>
      <c r="O952" s="196"/>
    </row>
    <row r="953" spans="1:15" s="212" customFormat="1" ht="15.75">
      <c r="A953" s="209" t="str">
        <f ca="1">IF(ISNA(VLOOKUP(D953,'Standard Smelter Names'!$B$3:$E$165,4,FALSE)),"",VLOOKUP(D953,'Standard Smelter Names'!$B$3:$E$165,4,FALSE))</f>
        <v/>
      </c>
      <c r="B953" s="210"/>
      <c r="C953" s="211"/>
      <c r="D953" s="211" t="str">
        <f t="shared" si="28"/>
        <v/>
      </c>
      <c r="E953" s="210" t="str">
        <f t="shared" si="29"/>
        <v/>
      </c>
      <c r="F953" s="210"/>
      <c r="G953" s="210"/>
      <c r="H953" s="210"/>
      <c r="I953" s="210"/>
      <c r="J953" s="210"/>
      <c r="K953" s="210"/>
      <c r="L953" s="210"/>
      <c r="M953" s="210"/>
      <c r="N953" s="210"/>
      <c r="O953" s="196"/>
    </row>
    <row r="954" spans="1:15" s="212" customFormat="1" ht="15.75">
      <c r="A954" s="209" t="str">
        <f ca="1">IF(ISNA(VLOOKUP(D954,'Standard Smelter Names'!$B$3:$E$165,4,FALSE)),"",VLOOKUP(D954,'Standard Smelter Names'!$B$3:$E$165,4,FALSE))</f>
        <v/>
      </c>
      <c r="B954" s="210"/>
      <c r="C954" s="211"/>
      <c r="D954" s="211" t="str">
        <f t="shared" si="28"/>
        <v/>
      </c>
      <c r="E954" s="210" t="str">
        <f t="shared" si="29"/>
        <v/>
      </c>
      <c r="F954" s="210"/>
      <c r="G954" s="210"/>
      <c r="H954" s="210"/>
      <c r="I954" s="210"/>
      <c r="J954" s="210"/>
      <c r="K954" s="210"/>
      <c r="L954" s="210"/>
      <c r="M954" s="210"/>
      <c r="N954" s="210"/>
      <c r="O954" s="196"/>
    </row>
    <row r="955" spans="1:15" s="212" customFormat="1" ht="15.75">
      <c r="A955" s="209" t="str">
        <f ca="1">IF(ISNA(VLOOKUP(D955,'Standard Smelter Names'!$B$3:$E$165,4,FALSE)),"",VLOOKUP(D955,'Standard Smelter Names'!$B$3:$E$165,4,FALSE))</f>
        <v/>
      </c>
      <c r="B955" s="210"/>
      <c r="C955" s="211"/>
      <c r="D955" s="211" t="str">
        <f t="shared" si="28"/>
        <v/>
      </c>
      <c r="E955" s="210" t="str">
        <f t="shared" si="29"/>
        <v/>
      </c>
      <c r="F955" s="210"/>
      <c r="G955" s="210"/>
      <c r="H955" s="210"/>
      <c r="I955" s="210"/>
      <c r="J955" s="210"/>
      <c r="K955" s="210"/>
      <c r="L955" s="210"/>
      <c r="M955" s="210"/>
      <c r="N955" s="210"/>
      <c r="O955" s="196"/>
    </row>
    <row r="956" spans="1:15" s="212" customFormat="1" ht="15.75">
      <c r="A956" s="209" t="str">
        <f ca="1">IF(ISNA(VLOOKUP(D956,'Standard Smelter Names'!$B$3:$E$165,4,FALSE)),"",VLOOKUP(D956,'Standard Smelter Names'!$B$3:$E$165,4,FALSE))</f>
        <v/>
      </c>
      <c r="B956" s="210"/>
      <c r="C956" s="211"/>
      <c r="D956" s="211" t="str">
        <f t="shared" si="28"/>
        <v/>
      </c>
      <c r="E956" s="210" t="str">
        <f t="shared" si="29"/>
        <v/>
      </c>
      <c r="F956" s="210"/>
      <c r="G956" s="210"/>
      <c r="H956" s="210"/>
      <c r="I956" s="210"/>
      <c r="J956" s="210"/>
      <c r="K956" s="210"/>
      <c r="L956" s="210"/>
      <c r="M956" s="210"/>
      <c r="N956" s="210"/>
      <c r="O956" s="196"/>
    </row>
    <row r="957" spans="1:15" s="212" customFormat="1" ht="15.75">
      <c r="A957" s="209" t="str">
        <f ca="1">IF(ISNA(VLOOKUP(D957,'Standard Smelter Names'!$B$3:$E$165,4,FALSE)),"",VLOOKUP(D957,'Standard Smelter Names'!$B$3:$E$165,4,FALSE))</f>
        <v/>
      </c>
      <c r="B957" s="210"/>
      <c r="C957" s="211"/>
      <c r="D957" s="211" t="str">
        <f t="shared" si="28"/>
        <v/>
      </c>
      <c r="E957" s="210" t="str">
        <f t="shared" si="29"/>
        <v/>
      </c>
      <c r="F957" s="210"/>
      <c r="G957" s="210"/>
      <c r="H957" s="210"/>
      <c r="I957" s="210"/>
      <c r="J957" s="210"/>
      <c r="K957" s="210"/>
      <c r="L957" s="210"/>
      <c r="M957" s="210"/>
      <c r="N957" s="210"/>
      <c r="O957" s="196"/>
    </row>
    <row r="958" spans="1:15" s="212" customFormat="1" ht="15.75">
      <c r="A958" s="209" t="str">
        <f ca="1">IF(ISNA(VLOOKUP(D958,'Standard Smelter Names'!$B$3:$E$165,4,FALSE)),"",VLOOKUP(D958,'Standard Smelter Names'!$B$3:$E$165,4,FALSE))</f>
        <v/>
      </c>
      <c r="B958" s="210"/>
      <c r="C958" s="211"/>
      <c r="D958" s="211" t="str">
        <f t="shared" si="28"/>
        <v/>
      </c>
      <c r="E958" s="210" t="str">
        <f t="shared" si="29"/>
        <v/>
      </c>
      <c r="F958" s="210"/>
      <c r="G958" s="210"/>
      <c r="H958" s="210"/>
      <c r="I958" s="210"/>
      <c r="J958" s="210"/>
      <c r="K958" s="210"/>
      <c r="L958" s="210"/>
      <c r="M958" s="210"/>
      <c r="N958" s="210"/>
      <c r="O958" s="196"/>
    </row>
    <row r="959" spans="1:15" s="212" customFormat="1" ht="15.75">
      <c r="A959" s="209" t="str">
        <f ca="1">IF(ISNA(VLOOKUP(D959,'Standard Smelter Names'!$B$3:$E$165,4,FALSE)),"",VLOOKUP(D959,'Standard Smelter Names'!$B$3:$E$165,4,FALSE))</f>
        <v/>
      </c>
      <c r="B959" s="210"/>
      <c r="C959" s="211"/>
      <c r="D959" s="211" t="str">
        <f t="shared" si="28"/>
        <v/>
      </c>
      <c r="E959" s="210" t="str">
        <f t="shared" si="29"/>
        <v/>
      </c>
      <c r="F959" s="210"/>
      <c r="G959" s="210"/>
      <c r="H959" s="210"/>
      <c r="I959" s="210"/>
      <c r="J959" s="210"/>
      <c r="K959" s="210"/>
      <c r="L959" s="210"/>
      <c r="M959" s="210"/>
      <c r="N959" s="210"/>
      <c r="O959" s="196"/>
    </row>
    <row r="960" spans="1:15" s="212" customFormat="1" ht="15.75">
      <c r="A960" s="209" t="str">
        <f ca="1">IF(ISNA(VLOOKUP(D960,'Standard Smelter Names'!$B$3:$E$165,4,FALSE)),"",VLOOKUP(D960,'Standard Smelter Names'!$B$3:$E$165,4,FALSE))</f>
        <v/>
      </c>
      <c r="B960" s="210"/>
      <c r="C960" s="211"/>
      <c r="D960" s="211" t="str">
        <f t="shared" si="28"/>
        <v/>
      </c>
      <c r="E960" s="210" t="str">
        <f t="shared" si="29"/>
        <v/>
      </c>
      <c r="F960" s="210"/>
      <c r="G960" s="210"/>
      <c r="H960" s="210"/>
      <c r="I960" s="210"/>
      <c r="J960" s="210"/>
      <c r="K960" s="210"/>
      <c r="L960" s="210"/>
      <c r="M960" s="210"/>
      <c r="N960" s="210"/>
      <c r="O960" s="196"/>
    </row>
    <row r="961" spans="1:15" s="212" customFormat="1" ht="15.75">
      <c r="A961" s="209" t="str">
        <f ca="1">IF(ISNA(VLOOKUP(D961,'Standard Smelter Names'!$B$3:$E$165,4,FALSE)),"",VLOOKUP(D961,'Standard Smelter Names'!$B$3:$E$165,4,FALSE))</f>
        <v/>
      </c>
      <c r="B961" s="210"/>
      <c r="C961" s="211"/>
      <c r="D961" s="211" t="str">
        <f t="shared" si="28"/>
        <v/>
      </c>
      <c r="E961" s="210" t="str">
        <f t="shared" si="29"/>
        <v/>
      </c>
      <c r="F961" s="210"/>
      <c r="G961" s="210"/>
      <c r="H961" s="210"/>
      <c r="I961" s="210"/>
      <c r="J961" s="210"/>
      <c r="K961" s="210"/>
      <c r="L961" s="210"/>
      <c r="M961" s="210"/>
      <c r="N961" s="210"/>
      <c r="O961" s="196"/>
    </row>
    <row r="962" spans="1:15" s="212" customFormat="1" ht="15.75">
      <c r="A962" s="209" t="str">
        <f ca="1">IF(ISNA(VLOOKUP(D962,'Standard Smelter Names'!$B$3:$E$165,4,FALSE)),"",VLOOKUP(D962,'Standard Smelter Names'!$B$3:$E$165,4,FALSE))</f>
        <v/>
      </c>
      <c r="B962" s="210"/>
      <c r="C962" s="211"/>
      <c r="D962" s="211" t="str">
        <f t="shared" si="28"/>
        <v/>
      </c>
      <c r="E962" s="210" t="str">
        <f t="shared" si="29"/>
        <v/>
      </c>
      <c r="F962" s="210"/>
      <c r="G962" s="210"/>
      <c r="H962" s="210"/>
      <c r="I962" s="210"/>
      <c r="J962" s="210"/>
      <c r="K962" s="210"/>
      <c r="L962" s="210"/>
      <c r="M962" s="210"/>
      <c r="N962" s="210"/>
      <c r="O962" s="196"/>
    </row>
    <row r="963" spans="1:15" s="212" customFormat="1" ht="15.75">
      <c r="A963" s="209" t="str">
        <f ca="1">IF(ISNA(VLOOKUP(D963,'Standard Smelter Names'!$B$3:$E$165,4,FALSE)),"",VLOOKUP(D963,'Standard Smelter Names'!$B$3:$E$165,4,FALSE))</f>
        <v/>
      </c>
      <c r="B963" s="210"/>
      <c r="C963" s="211"/>
      <c r="D963" s="211" t="str">
        <f t="shared" si="28"/>
        <v/>
      </c>
      <c r="E963" s="210" t="str">
        <f t="shared" si="29"/>
        <v/>
      </c>
      <c r="F963" s="210"/>
      <c r="G963" s="210"/>
      <c r="H963" s="210"/>
      <c r="I963" s="210"/>
      <c r="J963" s="210"/>
      <c r="K963" s="210"/>
      <c r="L963" s="210"/>
      <c r="M963" s="210"/>
      <c r="N963" s="210"/>
      <c r="O963" s="196"/>
    </row>
    <row r="964" spans="1:15" s="212" customFormat="1" ht="15.75">
      <c r="A964" s="209" t="str">
        <f ca="1">IF(ISNA(VLOOKUP(D964,'Standard Smelter Names'!$B$3:$E$165,4,FALSE)),"",VLOOKUP(D964,'Standard Smelter Names'!$B$3:$E$165,4,FALSE))</f>
        <v/>
      </c>
      <c r="B964" s="210"/>
      <c r="C964" s="211"/>
      <c r="D964" s="211" t="str">
        <f t="shared" si="28"/>
        <v/>
      </c>
      <c r="E964" s="210" t="str">
        <f t="shared" si="29"/>
        <v/>
      </c>
      <c r="F964" s="210"/>
      <c r="G964" s="210"/>
      <c r="H964" s="210"/>
      <c r="I964" s="210"/>
      <c r="J964" s="210"/>
      <c r="K964" s="210"/>
      <c r="L964" s="210"/>
      <c r="M964" s="210"/>
      <c r="N964" s="210"/>
      <c r="O964" s="196"/>
    </row>
    <row r="965" spans="1:15" s="212" customFormat="1" ht="15.75">
      <c r="A965" s="209" t="str">
        <f ca="1">IF(ISNA(VLOOKUP(D965,'Standard Smelter Names'!$B$3:$E$165,4,FALSE)),"",VLOOKUP(D965,'Standard Smelter Names'!$B$3:$E$165,4,FALSE))</f>
        <v/>
      </c>
      <c r="B965" s="210"/>
      <c r="C965" s="211"/>
      <c r="D965" s="211" t="str">
        <f t="shared" ref="D965:D1001" si="30">IF(ISNA(VLOOKUP(C965,$G$1023:$I$1379,3,FALSE)),"",VLOOKUP(C965,$G$1023:$I$1379,3,FALSE))</f>
        <v/>
      </c>
      <c r="E965" s="210" t="str">
        <f t="shared" ref="E965:E1001" si="31">IF(ISNA(VLOOKUP(C965,$G$1023:$I$1379,2,FALSE)),"",VLOOKUP(C965,$G$1023:$I$1379,2,FALSE))</f>
        <v/>
      </c>
      <c r="F965" s="210"/>
      <c r="G965" s="210"/>
      <c r="H965" s="210"/>
      <c r="I965" s="210"/>
      <c r="J965" s="210"/>
      <c r="K965" s="210"/>
      <c r="L965" s="210"/>
      <c r="M965" s="210"/>
      <c r="N965" s="210"/>
      <c r="O965" s="196"/>
    </row>
    <row r="966" spans="1:15" s="212" customFormat="1" ht="15.75">
      <c r="A966" s="209" t="str">
        <f ca="1">IF(ISNA(VLOOKUP(D966,'Standard Smelter Names'!$B$3:$E$165,4,FALSE)),"",VLOOKUP(D966,'Standard Smelter Names'!$B$3:$E$165,4,FALSE))</f>
        <v/>
      </c>
      <c r="B966" s="210"/>
      <c r="C966" s="211"/>
      <c r="D966" s="211" t="str">
        <f t="shared" si="30"/>
        <v/>
      </c>
      <c r="E966" s="210" t="str">
        <f t="shared" si="31"/>
        <v/>
      </c>
      <c r="F966" s="210"/>
      <c r="G966" s="210"/>
      <c r="H966" s="210"/>
      <c r="I966" s="210"/>
      <c r="J966" s="210"/>
      <c r="K966" s="210"/>
      <c r="L966" s="210"/>
      <c r="M966" s="210"/>
      <c r="N966" s="210"/>
      <c r="O966" s="196"/>
    </row>
    <row r="967" spans="1:15" s="212" customFormat="1" ht="15.75">
      <c r="A967" s="209" t="str">
        <f ca="1">IF(ISNA(VLOOKUP(D967,'Standard Smelter Names'!$B$3:$E$165,4,FALSE)),"",VLOOKUP(D967,'Standard Smelter Names'!$B$3:$E$165,4,FALSE))</f>
        <v/>
      </c>
      <c r="B967" s="210"/>
      <c r="C967" s="211"/>
      <c r="D967" s="211" t="str">
        <f t="shared" si="30"/>
        <v/>
      </c>
      <c r="E967" s="210" t="str">
        <f t="shared" si="31"/>
        <v/>
      </c>
      <c r="F967" s="210"/>
      <c r="G967" s="210"/>
      <c r="H967" s="210"/>
      <c r="I967" s="210"/>
      <c r="J967" s="210"/>
      <c r="K967" s="210"/>
      <c r="L967" s="210"/>
      <c r="M967" s="210"/>
      <c r="N967" s="210"/>
      <c r="O967" s="196"/>
    </row>
    <row r="968" spans="1:15" s="212" customFormat="1" ht="15.75">
      <c r="A968" s="209" t="str">
        <f ca="1">IF(ISNA(VLOOKUP(D968,'Standard Smelter Names'!$B$3:$E$165,4,FALSE)),"",VLOOKUP(D968,'Standard Smelter Names'!$B$3:$E$165,4,FALSE))</f>
        <v/>
      </c>
      <c r="B968" s="210"/>
      <c r="C968" s="211"/>
      <c r="D968" s="211" t="str">
        <f t="shared" si="30"/>
        <v/>
      </c>
      <c r="E968" s="210" t="str">
        <f t="shared" si="31"/>
        <v/>
      </c>
      <c r="F968" s="210"/>
      <c r="G968" s="210"/>
      <c r="H968" s="210"/>
      <c r="I968" s="210"/>
      <c r="J968" s="210"/>
      <c r="K968" s="210"/>
      <c r="L968" s="210"/>
      <c r="M968" s="210"/>
      <c r="N968" s="210"/>
      <c r="O968" s="196"/>
    </row>
    <row r="969" spans="1:15" s="212" customFormat="1" ht="15.75">
      <c r="A969" s="209" t="str">
        <f ca="1">IF(ISNA(VLOOKUP(D969,'Standard Smelter Names'!$B$3:$E$165,4,FALSE)),"",VLOOKUP(D969,'Standard Smelter Names'!$B$3:$E$165,4,FALSE))</f>
        <v/>
      </c>
      <c r="B969" s="210"/>
      <c r="C969" s="211"/>
      <c r="D969" s="211" t="str">
        <f t="shared" si="30"/>
        <v/>
      </c>
      <c r="E969" s="210" t="str">
        <f t="shared" si="31"/>
        <v/>
      </c>
      <c r="F969" s="210"/>
      <c r="G969" s="210"/>
      <c r="H969" s="210"/>
      <c r="I969" s="210"/>
      <c r="J969" s="210"/>
      <c r="K969" s="210"/>
      <c r="L969" s="210"/>
      <c r="M969" s="210"/>
      <c r="N969" s="210"/>
      <c r="O969" s="196"/>
    </row>
    <row r="970" spans="1:15" s="212" customFormat="1" ht="15.75">
      <c r="A970" s="209" t="str">
        <f ca="1">IF(ISNA(VLOOKUP(D970,'Standard Smelter Names'!$B$3:$E$165,4,FALSE)),"",VLOOKUP(D970,'Standard Smelter Names'!$B$3:$E$165,4,FALSE))</f>
        <v/>
      </c>
      <c r="B970" s="210"/>
      <c r="C970" s="211"/>
      <c r="D970" s="211" t="str">
        <f t="shared" si="30"/>
        <v/>
      </c>
      <c r="E970" s="210" t="str">
        <f t="shared" si="31"/>
        <v/>
      </c>
      <c r="F970" s="210"/>
      <c r="G970" s="210"/>
      <c r="H970" s="210"/>
      <c r="I970" s="210"/>
      <c r="J970" s="210"/>
      <c r="K970" s="210"/>
      <c r="L970" s="210"/>
      <c r="M970" s="210"/>
      <c r="N970" s="210"/>
      <c r="O970" s="196"/>
    </row>
    <row r="971" spans="1:15" s="212" customFormat="1" ht="15.75">
      <c r="A971" s="209" t="str">
        <f ca="1">IF(ISNA(VLOOKUP(D971,'Standard Smelter Names'!$B$3:$E$165,4,FALSE)),"",VLOOKUP(D971,'Standard Smelter Names'!$B$3:$E$165,4,FALSE))</f>
        <v/>
      </c>
      <c r="B971" s="210"/>
      <c r="C971" s="211"/>
      <c r="D971" s="211" t="str">
        <f t="shared" si="30"/>
        <v/>
      </c>
      <c r="E971" s="210" t="str">
        <f t="shared" si="31"/>
        <v/>
      </c>
      <c r="F971" s="210"/>
      <c r="G971" s="210"/>
      <c r="H971" s="210"/>
      <c r="I971" s="210"/>
      <c r="J971" s="210"/>
      <c r="K971" s="210"/>
      <c r="L971" s="210"/>
      <c r="M971" s="210"/>
      <c r="N971" s="210"/>
      <c r="O971" s="196"/>
    </row>
    <row r="972" spans="1:15" s="212" customFormat="1" ht="15.75">
      <c r="A972" s="209" t="str">
        <f ca="1">IF(ISNA(VLOOKUP(D972,'Standard Smelter Names'!$B$3:$E$165,4,FALSE)),"",VLOOKUP(D972,'Standard Smelter Names'!$B$3:$E$165,4,FALSE))</f>
        <v/>
      </c>
      <c r="B972" s="210"/>
      <c r="C972" s="211"/>
      <c r="D972" s="211" t="str">
        <f t="shared" si="30"/>
        <v/>
      </c>
      <c r="E972" s="210" t="str">
        <f t="shared" si="31"/>
        <v/>
      </c>
      <c r="F972" s="210"/>
      <c r="G972" s="210"/>
      <c r="H972" s="210"/>
      <c r="I972" s="210"/>
      <c r="J972" s="210"/>
      <c r="K972" s="210"/>
      <c r="L972" s="210"/>
      <c r="M972" s="210"/>
      <c r="N972" s="210"/>
      <c r="O972" s="196"/>
    </row>
    <row r="973" spans="1:15" s="212" customFormat="1" ht="15.75">
      <c r="A973" s="209" t="str">
        <f ca="1">IF(ISNA(VLOOKUP(D973,'Standard Smelter Names'!$B$3:$E$165,4,FALSE)),"",VLOOKUP(D973,'Standard Smelter Names'!$B$3:$E$165,4,FALSE))</f>
        <v/>
      </c>
      <c r="B973" s="210"/>
      <c r="C973" s="211"/>
      <c r="D973" s="211" t="str">
        <f t="shared" si="30"/>
        <v/>
      </c>
      <c r="E973" s="210" t="str">
        <f t="shared" si="31"/>
        <v/>
      </c>
      <c r="F973" s="210"/>
      <c r="G973" s="210"/>
      <c r="H973" s="210"/>
      <c r="I973" s="210"/>
      <c r="J973" s="210"/>
      <c r="K973" s="210"/>
      <c r="L973" s="210"/>
      <c r="M973" s="210"/>
      <c r="N973" s="210"/>
      <c r="O973" s="196"/>
    </row>
    <row r="974" spans="1:15" s="212" customFormat="1" ht="15.75">
      <c r="A974" s="209" t="str">
        <f ca="1">IF(ISNA(VLOOKUP(D974,'Standard Smelter Names'!$B$3:$E$165,4,FALSE)),"",VLOOKUP(D974,'Standard Smelter Names'!$B$3:$E$165,4,FALSE))</f>
        <v/>
      </c>
      <c r="B974" s="210"/>
      <c r="C974" s="211"/>
      <c r="D974" s="211" t="str">
        <f t="shared" si="30"/>
        <v/>
      </c>
      <c r="E974" s="210" t="str">
        <f t="shared" si="31"/>
        <v/>
      </c>
      <c r="F974" s="210"/>
      <c r="G974" s="210"/>
      <c r="H974" s="210"/>
      <c r="I974" s="210"/>
      <c r="J974" s="210"/>
      <c r="K974" s="210"/>
      <c r="L974" s="210"/>
      <c r="M974" s="210"/>
      <c r="N974" s="210"/>
      <c r="O974" s="196"/>
    </row>
    <row r="975" spans="1:15" s="212" customFormat="1" ht="15.75">
      <c r="A975" s="209" t="str">
        <f ca="1">IF(ISNA(VLOOKUP(D975,'Standard Smelter Names'!$B$3:$E$165,4,FALSE)),"",VLOOKUP(D975,'Standard Smelter Names'!$B$3:$E$165,4,FALSE))</f>
        <v/>
      </c>
      <c r="B975" s="210"/>
      <c r="C975" s="211"/>
      <c r="D975" s="211" t="str">
        <f t="shared" si="30"/>
        <v/>
      </c>
      <c r="E975" s="210" t="str">
        <f t="shared" si="31"/>
        <v/>
      </c>
      <c r="F975" s="210"/>
      <c r="G975" s="210"/>
      <c r="H975" s="210"/>
      <c r="I975" s="210"/>
      <c r="J975" s="210"/>
      <c r="K975" s="210"/>
      <c r="L975" s="210"/>
      <c r="M975" s="210"/>
      <c r="N975" s="210"/>
      <c r="O975" s="196"/>
    </row>
    <row r="976" spans="1:15" s="212" customFormat="1" ht="15.75">
      <c r="A976" s="209" t="str">
        <f ca="1">IF(ISNA(VLOOKUP(D976,'Standard Smelter Names'!$B$3:$E$165,4,FALSE)),"",VLOOKUP(D976,'Standard Smelter Names'!$B$3:$E$165,4,FALSE))</f>
        <v/>
      </c>
      <c r="B976" s="210"/>
      <c r="C976" s="211"/>
      <c r="D976" s="211" t="str">
        <f t="shared" si="30"/>
        <v/>
      </c>
      <c r="E976" s="210" t="str">
        <f t="shared" si="31"/>
        <v/>
      </c>
      <c r="F976" s="210"/>
      <c r="G976" s="210"/>
      <c r="H976" s="210"/>
      <c r="I976" s="210"/>
      <c r="J976" s="210"/>
      <c r="K976" s="210"/>
      <c r="L976" s="210"/>
      <c r="M976" s="210"/>
      <c r="N976" s="210"/>
      <c r="O976" s="196"/>
    </row>
    <row r="977" spans="1:15" s="212" customFormat="1" ht="15.75">
      <c r="A977" s="209" t="str">
        <f ca="1">IF(ISNA(VLOOKUP(D977,'Standard Smelter Names'!$B$3:$E$165,4,FALSE)),"",VLOOKUP(D977,'Standard Smelter Names'!$B$3:$E$165,4,FALSE))</f>
        <v/>
      </c>
      <c r="B977" s="210"/>
      <c r="C977" s="211"/>
      <c r="D977" s="211" t="str">
        <f t="shared" si="30"/>
        <v/>
      </c>
      <c r="E977" s="210" t="str">
        <f t="shared" si="31"/>
        <v/>
      </c>
      <c r="F977" s="210"/>
      <c r="G977" s="210"/>
      <c r="H977" s="210"/>
      <c r="I977" s="210"/>
      <c r="J977" s="210"/>
      <c r="K977" s="210"/>
      <c r="L977" s="210"/>
      <c r="M977" s="210"/>
      <c r="N977" s="210"/>
      <c r="O977" s="196"/>
    </row>
    <row r="978" spans="1:15" s="212" customFormat="1" ht="15.75">
      <c r="A978" s="209" t="str">
        <f ca="1">IF(ISNA(VLOOKUP(D978,'Standard Smelter Names'!$B$3:$E$165,4,FALSE)),"",VLOOKUP(D978,'Standard Smelter Names'!$B$3:$E$165,4,FALSE))</f>
        <v/>
      </c>
      <c r="B978" s="210"/>
      <c r="C978" s="211"/>
      <c r="D978" s="211" t="str">
        <f t="shared" si="30"/>
        <v/>
      </c>
      <c r="E978" s="210" t="str">
        <f t="shared" si="31"/>
        <v/>
      </c>
      <c r="F978" s="210"/>
      <c r="G978" s="210"/>
      <c r="H978" s="210"/>
      <c r="I978" s="210"/>
      <c r="J978" s="210"/>
      <c r="K978" s="210"/>
      <c r="L978" s="210"/>
      <c r="M978" s="210"/>
      <c r="N978" s="210"/>
      <c r="O978" s="196"/>
    </row>
    <row r="979" spans="1:15" s="212" customFormat="1" ht="15.75">
      <c r="A979" s="209" t="str">
        <f ca="1">IF(ISNA(VLOOKUP(D979,'Standard Smelter Names'!$B$3:$E$165,4,FALSE)),"",VLOOKUP(D979,'Standard Smelter Names'!$B$3:$E$165,4,FALSE))</f>
        <v/>
      </c>
      <c r="B979" s="210"/>
      <c r="C979" s="211"/>
      <c r="D979" s="211" t="str">
        <f t="shared" si="30"/>
        <v/>
      </c>
      <c r="E979" s="210" t="str">
        <f t="shared" si="31"/>
        <v/>
      </c>
      <c r="F979" s="210"/>
      <c r="G979" s="210"/>
      <c r="H979" s="210"/>
      <c r="I979" s="210"/>
      <c r="J979" s="210"/>
      <c r="K979" s="210"/>
      <c r="L979" s="210"/>
      <c r="M979" s="210"/>
      <c r="N979" s="210"/>
      <c r="O979" s="196"/>
    </row>
    <row r="980" spans="1:15" s="212" customFormat="1" ht="15.75">
      <c r="A980" s="209" t="str">
        <f ca="1">IF(ISNA(VLOOKUP(D980,'Standard Smelter Names'!$B$3:$E$165,4,FALSE)),"",VLOOKUP(D980,'Standard Smelter Names'!$B$3:$E$165,4,FALSE))</f>
        <v/>
      </c>
      <c r="B980" s="210"/>
      <c r="C980" s="211"/>
      <c r="D980" s="211" t="str">
        <f t="shared" si="30"/>
        <v/>
      </c>
      <c r="E980" s="210" t="str">
        <f t="shared" si="31"/>
        <v/>
      </c>
      <c r="F980" s="213"/>
      <c r="G980" s="213"/>
      <c r="H980" s="210"/>
      <c r="I980" s="213"/>
      <c r="J980" s="213"/>
      <c r="K980" s="213"/>
      <c r="L980" s="213"/>
      <c r="M980" s="213"/>
      <c r="N980" s="213"/>
      <c r="O980" s="196"/>
    </row>
    <row r="981" spans="1:15" s="212" customFormat="1" ht="15.75">
      <c r="A981" s="209" t="str">
        <f ca="1">IF(ISNA(VLOOKUP(D981,'Standard Smelter Names'!$B$3:$E$165,4,FALSE)),"",VLOOKUP(D981,'Standard Smelter Names'!$B$3:$E$165,4,FALSE))</f>
        <v/>
      </c>
      <c r="B981" s="210"/>
      <c r="C981" s="211"/>
      <c r="D981" s="211" t="str">
        <f t="shared" si="30"/>
        <v/>
      </c>
      <c r="E981" s="210" t="str">
        <f t="shared" si="31"/>
        <v/>
      </c>
      <c r="F981" s="214"/>
      <c r="G981" s="214"/>
      <c r="H981" s="210"/>
      <c r="I981" s="214"/>
      <c r="J981" s="214"/>
      <c r="K981" s="214"/>
      <c r="L981" s="214"/>
      <c r="M981" s="214"/>
      <c r="N981" s="214"/>
      <c r="O981" s="196"/>
    </row>
    <row r="982" spans="1:15" s="212" customFormat="1" ht="15.75">
      <c r="A982" s="209" t="str">
        <f ca="1">IF(ISNA(VLOOKUP(D982,'Standard Smelter Names'!$B$3:$E$165,4,FALSE)),"",VLOOKUP(D982,'Standard Smelter Names'!$B$3:$E$165,4,FALSE))</f>
        <v/>
      </c>
      <c r="B982" s="210"/>
      <c r="C982" s="211"/>
      <c r="D982" s="211" t="str">
        <f t="shared" si="30"/>
        <v/>
      </c>
      <c r="E982" s="210" t="str">
        <f t="shared" si="31"/>
        <v/>
      </c>
      <c r="F982" s="214"/>
      <c r="G982" s="214"/>
      <c r="H982" s="210"/>
      <c r="I982" s="214"/>
      <c r="J982" s="214"/>
      <c r="K982" s="214"/>
      <c r="L982" s="214"/>
      <c r="M982" s="214"/>
      <c r="N982" s="214"/>
      <c r="O982" s="196"/>
    </row>
    <row r="983" spans="1:15" s="212" customFormat="1" ht="15.75">
      <c r="A983" s="209" t="str">
        <f ca="1">IF(ISNA(VLOOKUP(D983,'Standard Smelter Names'!$B$3:$E$165,4,FALSE)),"",VLOOKUP(D983,'Standard Smelter Names'!$B$3:$E$165,4,FALSE))</f>
        <v/>
      </c>
      <c r="B983" s="210"/>
      <c r="C983" s="211"/>
      <c r="D983" s="211" t="str">
        <f t="shared" si="30"/>
        <v/>
      </c>
      <c r="E983" s="210" t="str">
        <f t="shared" si="31"/>
        <v/>
      </c>
      <c r="F983" s="214"/>
      <c r="G983" s="214"/>
      <c r="H983" s="210"/>
      <c r="I983" s="214"/>
      <c r="J983" s="214"/>
      <c r="K983" s="214"/>
      <c r="L983" s="214"/>
      <c r="M983" s="214"/>
      <c r="N983" s="214"/>
      <c r="O983" s="196"/>
    </row>
    <row r="984" spans="1:15" s="212" customFormat="1" ht="15.75">
      <c r="A984" s="209" t="str">
        <f ca="1">IF(ISNA(VLOOKUP(D984,'Standard Smelter Names'!$B$3:$E$165,4,FALSE)),"",VLOOKUP(D984,'Standard Smelter Names'!$B$3:$E$165,4,FALSE))</f>
        <v/>
      </c>
      <c r="B984" s="210"/>
      <c r="C984" s="211"/>
      <c r="D984" s="211" t="str">
        <f t="shared" si="30"/>
        <v/>
      </c>
      <c r="E984" s="210" t="str">
        <f t="shared" si="31"/>
        <v/>
      </c>
      <c r="F984" s="214"/>
      <c r="G984" s="214"/>
      <c r="H984" s="210"/>
      <c r="I984" s="214"/>
      <c r="J984" s="214"/>
      <c r="K984" s="214"/>
      <c r="L984" s="214"/>
      <c r="M984" s="214"/>
      <c r="N984" s="214"/>
      <c r="O984" s="196"/>
    </row>
    <row r="985" spans="1:15" s="212" customFormat="1" ht="15.75">
      <c r="A985" s="209" t="str">
        <f ca="1">IF(ISNA(VLOOKUP(D985,'Standard Smelter Names'!$B$3:$E$165,4,FALSE)),"",VLOOKUP(D985,'Standard Smelter Names'!$B$3:$E$165,4,FALSE))</f>
        <v/>
      </c>
      <c r="B985" s="210"/>
      <c r="C985" s="211"/>
      <c r="D985" s="211" t="str">
        <f t="shared" si="30"/>
        <v/>
      </c>
      <c r="E985" s="210" t="str">
        <f t="shared" si="31"/>
        <v/>
      </c>
      <c r="F985" s="214"/>
      <c r="G985" s="214"/>
      <c r="H985" s="210"/>
      <c r="I985" s="214"/>
      <c r="J985" s="214"/>
      <c r="K985" s="214"/>
      <c r="L985" s="214"/>
      <c r="M985" s="214"/>
      <c r="N985" s="214"/>
      <c r="O985" s="196"/>
    </row>
    <row r="986" spans="1:15" s="212" customFormat="1" ht="15.75">
      <c r="A986" s="209" t="str">
        <f ca="1">IF(ISNA(VLOOKUP(D986,'Standard Smelter Names'!$B$3:$E$165,4,FALSE)),"",VLOOKUP(D986,'Standard Smelter Names'!$B$3:$E$165,4,FALSE))</f>
        <v/>
      </c>
      <c r="B986" s="210"/>
      <c r="C986" s="211"/>
      <c r="D986" s="211" t="str">
        <f t="shared" si="30"/>
        <v/>
      </c>
      <c r="E986" s="210" t="str">
        <f t="shared" si="31"/>
        <v/>
      </c>
      <c r="F986" s="214"/>
      <c r="G986" s="214"/>
      <c r="H986" s="210"/>
      <c r="I986" s="214"/>
      <c r="J986" s="214"/>
      <c r="K986" s="214"/>
      <c r="L986" s="214"/>
      <c r="M986" s="214"/>
      <c r="N986" s="214"/>
      <c r="O986" s="196"/>
    </row>
    <row r="987" spans="1:15" s="212" customFormat="1" ht="15.75">
      <c r="A987" s="209" t="str">
        <f ca="1">IF(ISNA(VLOOKUP(D987,'Standard Smelter Names'!$B$3:$E$165,4,FALSE)),"",VLOOKUP(D987,'Standard Smelter Names'!$B$3:$E$165,4,FALSE))</f>
        <v/>
      </c>
      <c r="B987" s="210"/>
      <c r="C987" s="211"/>
      <c r="D987" s="211" t="str">
        <f t="shared" si="30"/>
        <v/>
      </c>
      <c r="E987" s="210" t="str">
        <f t="shared" si="31"/>
        <v/>
      </c>
      <c r="F987" s="214"/>
      <c r="G987" s="214"/>
      <c r="H987" s="210"/>
      <c r="I987" s="214"/>
      <c r="J987" s="214"/>
      <c r="K987" s="214"/>
      <c r="L987" s="214"/>
      <c r="M987" s="214"/>
      <c r="N987" s="214"/>
      <c r="O987" s="196"/>
    </row>
    <row r="988" spans="1:15" s="212" customFormat="1" ht="15.75">
      <c r="A988" s="209" t="str">
        <f ca="1">IF(ISNA(VLOOKUP(D988,'Standard Smelter Names'!$B$3:$E$165,4,FALSE)),"",VLOOKUP(D988,'Standard Smelter Names'!$B$3:$E$165,4,FALSE))</f>
        <v/>
      </c>
      <c r="B988" s="210"/>
      <c r="C988" s="211"/>
      <c r="D988" s="211" t="str">
        <f t="shared" si="30"/>
        <v/>
      </c>
      <c r="E988" s="210" t="str">
        <f t="shared" si="31"/>
        <v/>
      </c>
      <c r="F988" s="214"/>
      <c r="G988" s="214"/>
      <c r="H988" s="210"/>
      <c r="I988" s="214"/>
      <c r="J988" s="214"/>
      <c r="K988" s="214"/>
      <c r="L988" s="214"/>
      <c r="M988" s="214"/>
      <c r="N988" s="214"/>
      <c r="O988" s="196"/>
    </row>
    <row r="989" spans="1:15" s="212" customFormat="1" ht="15.75">
      <c r="A989" s="209" t="str">
        <f ca="1">IF(ISNA(VLOOKUP(D989,'Standard Smelter Names'!$B$3:$E$165,4,FALSE)),"",VLOOKUP(D989,'Standard Smelter Names'!$B$3:$E$165,4,FALSE))</f>
        <v/>
      </c>
      <c r="B989" s="210"/>
      <c r="C989" s="211"/>
      <c r="D989" s="211" t="str">
        <f t="shared" si="30"/>
        <v/>
      </c>
      <c r="E989" s="210" t="str">
        <f t="shared" si="31"/>
        <v/>
      </c>
      <c r="F989" s="214"/>
      <c r="G989" s="214"/>
      <c r="H989" s="210"/>
      <c r="I989" s="214"/>
      <c r="J989" s="214"/>
      <c r="K989" s="214"/>
      <c r="L989" s="214"/>
      <c r="M989" s="214"/>
      <c r="N989" s="214"/>
      <c r="O989" s="196"/>
    </row>
    <row r="990" spans="1:15" s="212" customFormat="1" ht="15.75">
      <c r="A990" s="209" t="str">
        <f ca="1">IF(ISNA(VLOOKUP(D990,'Standard Smelter Names'!$B$3:$E$165,4,FALSE)),"",VLOOKUP(D990,'Standard Smelter Names'!$B$3:$E$165,4,FALSE))</f>
        <v/>
      </c>
      <c r="B990" s="210"/>
      <c r="C990" s="211"/>
      <c r="D990" s="211" t="str">
        <f t="shared" si="30"/>
        <v/>
      </c>
      <c r="E990" s="210" t="str">
        <f t="shared" si="31"/>
        <v/>
      </c>
      <c r="F990" s="214"/>
      <c r="G990" s="214"/>
      <c r="H990" s="210"/>
      <c r="I990" s="214"/>
      <c r="J990" s="214"/>
      <c r="K990" s="214"/>
      <c r="L990" s="214"/>
      <c r="M990" s="214"/>
      <c r="N990" s="214"/>
      <c r="O990" s="196"/>
    </row>
    <row r="991" spans="1:15" s="212" customFormat="1" ht="15.75">
      <c r="A991" s="209" t="str">
        <f ca="1">IF(ISNA(VLOOKUP(D991,'Standard Smelter Names'!$B$3:$E$165,4,FALSE)),"",VLOOKUP(D991,'Standard Smelter Names'!$B$3:$E$165,4,FALSE))</f>
        <v/>
      </c>
      <c r="B991" s="210"/>
      <c r="C991" s="211"/>
      <c r="D991" s="211" t="str">
        <f t="shared" si="30"/>
        <v/>
      </c>
      <c r="E991" s="210" t="str">
        <f t="shared" si="31"/>
        <v/>
      </c>
      <c r="F991" s="214"/>
      <c r="G991" s="214"/>
      <c r="H991" s="210"/>
      <c r="I991" s="214"/>
      <c r="J991" s="214"/>
      <c r="K991" s="214"/>
      <c r="L991" s="214"/>
      <c r="M991" s="214"/>
      <c r="N991" s="214"/>
      <c r="O991" s="196"/>
    </row>
    <row r="992" spans="1:15" s="212" customFormat="1" ht="15.75">
      <c r="A992" s="209" t="str">
        <f ca="1">IF(ISNA(VLOOKUP(D992,'Standard Smelter Names'!$B$3:$E$165,4,FALSE)),"",VLOOKUP(D992,'Standard Smelter Names'!$B$3:$E$165,4,FALSE))</f>
        <v/>
      </c>
      <c r="B992" s="210"/>
      <c r="C992" s="211"/>
      <c r="D992" s="211" t="str">
        <f t="shared" si="30"/>
        <v/>
      </c>
      <c r="E992" s="210" t="str">
        <f t="shared" si="31"/>
        <v/>
      </c>
      <c r="F992" s="214"/>
      <c r="G992" s="214"/>
      <c r="H992" s="210"/>
      <c r="I992" s="214"/>
      <c r="J992" s="214"/>
      <c r="K992" s="214"/>
      <c r="L992" s="214"/>
      <c r="M992" s="214"/>
      <c r="N992" s="214"/>
      <c r="O992" s="196"/>
    </row>
    <row r="993" spans="1:15" s="212" customFormat="1" ht="15.75">
      <c r="A993" s="209" t="str">
        <f ca="1">IF(ISNA(VLOOKUP(D993,'Standard Smelter Names'!$B$3:$E$165,4,FALSE)),"",VLOOKUP(D993,'Standard Smelter Names'!$B$3:$E$165,4,FALSE))</f>
        <v/>
      </c>
      <c r="B993" s="210"/>
      <c r="C993" s="211"/>
      <c r="D993" s="211" t="str">
        <f t="shared" si="30"/>
        <v/>
      </c>
      <c r="E993" s="210" t="str">
        <f t="shared" si="31"/>
        <v/>
      </c>
      <c r="F993" s="214"/>
      <c r="G993" s="214"/>
      <c r="H993" s="210"/>
      <c r="I993" s="214"/>
      <c r="J993" s="214"/>
      <c r="K993" s="214"/>
      <c r="L993" s="214"/>
      <c r="M993" s="214"/>
      <c r="N993" s="214"/>
      <c r="O993" s="196"/>
    </row>
    <row r="994" spans="1:15" s="212" customFormat="1" ht="15.75">
      <c r="A994" s="209" t="str">
        <f ca="1">IF(ISNA(VLOOKUP(D994,'Standard Smelter Names'!$B$3:$E$165,4,FALSE)),"",VLOOKUP(D994,'Standard Smelter Names'!$B$3:$E$165,4,FALSE))</f>
        <v/>
      </c>
      <c r="B994" s="210"/>
      <c r="C994" s="211"/>
      <c r="D994" s="211" t="str">
        <f t="shared" si="30"/>
        <v/>
      </c>
      <c r="E994" s="210" t="str">
        <f t="shared" si="31"/>
        <v/>
      </c>
      <c r="F994" s="214"/>
      <c r="G994" s="214"/>
      <c r="H994" s="210"/>
      <c r="I994" s="214"/>
      <c r="J994" s="214"/>
      <c r="K994" s="214"/>
      <c r="L994" s="214"/>
      <c r="M994" s="214"/>
      <c r="N994" s="214"/>
      <c r="O994" s="196"/>
    </row>
    <row r="995" spans="1:15" s="212" customFormat="1" ht="15.75">
      <c r="A995" s="209" t="str">
        <f ca="1">IF(ISNA(VLOOKUP(D995,'Standard Smelter Names'!$B$3:$E$165,4,FALSE)),"",VLOOKUP(D995,'Standard Smelter Names'!$B$3:$E$165,4,FALSE))</f>
        <v/>
      </c>
      <c r="B995" s="210"/>
      <c r="C995" s="211"/>
      <c r="D995" s="211" t="str">
        <f t="shared" si="30"/>
        <v/>
      </c>
      <c r="E995" s="210" t="str">
        <f t="shared" si="31"/>
        <v/>
      </c>
      <c r="F995" s="214"/>
      <c r="G995" s="214"/>
      <c r="H995" s="210"/>
      <c r="I995" s="214"/>
      <c r="J995" s="214"/>
      <c r="K995" s="214"/>
      <c r="L995" s="214"/>
      <c r="M995" s="214"/>
      <c r="N995" s="214"/>
      <c r="O995" s="196"/>
    </row>
    <row r="996" spans="1:15" s="212" customFormat="1" ht="15.75">
      <c r="A996" s="209" t="str">
        <f ca="1">IF(ISNA(VLOOKUP(D996,'Standard Smelter Names'!$B$3:$E$165,4,FALSE)),"",VLOOKUP(D996,'Standard Smelter Names'!$B$3:$E$165,4,FALSE))</f>
        <v/>
      </c>
      <c r="B996" s="210"/>
      <c r="C996" s="211"/>
      <c r="D996" s="211" t="str">
        <f t="shared" si="30"/>
        <v/>
      </c>
      <c r="E996" s="210" t="str">
        <f t="shared" si="31"/>
        <v/>
      </c>
      <c r="F996" s="214"/>
      <c r="G996" s="214"/>
      <c r="H996" s="210"/>
      <c r="I996" s="214"/>
      <c r="J996" s="214"/>
      <c r="K996" s="214"/>
      <c r="L996" s="214"/>
      <c r="M996" s="214"/>
      <c r="N996" s="214"/>
      <c r="O996" s="196"/>
    </row>
    <row r="997" spans="1:15" s="212" customFormat="1" ht="15.75">
      <c r="A997" s="209" t="str">
        <f ca="1">IF(ISNA(VLOOKUP(D997,'Standard Smelter Names'!$B$3:$E$165,4,FALSE)),"",VLOOKUP(D997,'Standard Smelter Names'!$B$3:$E$165,4,FALSE))</f>
        <v/>
      </c>
      <c r="B997" s="210"/>
      <c r="C997" s="211"/>
      <c r="D997" s="211" t="str">
        <f t="shared" si="30"/>
        <v/>
      </c>
      <c r="E997" s="210" t="str">
        <f t="shared" si="31"/>
        <v/>
      </c>
      <c r="F997" s="214"/>
      <c r="G997" s="214"/>
      <c r="H997" s="210"/>
      <c r="I997" s="214"/>
      <c r="J997" s="214"/>
      <c r="K997" s="214"/>
      <c r="L997" s="214"/>
      <c r="M997" s="214"/>
      <c r="N997" s="214"/>
      <c r="O997" s="196"/>
    </row>
    <row r="998" spans="1:15" s="212" customFormat="1" ht="15.75">
      <c r="A998" s="209" t="str">
        <f ca="1">IF(ISNA(VLOOKUP(D998,'Standard Smelter Names'!$B$3:$E$165,4,FALSE)),"",VLOOKUP(D998,'Standard Smelter Names'!$B$3:$E$165,4,FALSE))</f>
        <v/>
      </c>
      <c r="B998" s="210"/>
      <c r="C998" s="211"/>
      <c r="D998" s="211" t="str">
        <f t="shared" si="30"/>
        <v/>
      </c>
      <c r="E998" s="210" t="str">
        <f t="shared" si="31"/>
        <v/>
      </c>
      <c r="F998" s="214"/>
      <c r="G998" s="214"/>
      <c r="H998" s="210"/>
      <c r="I998" s="214"/>
      <c r="J998" s="214"/>
      <c r="K998" s="214"/>
      <c r="L998" s="214"/>
      <c r="M998" s="214"/>
      <c r="N998" s="214"/>
      <c r="O998" s="196"/>
    </row>
    <row r="999" spans="1:15" s="212" customFormat="1" ht="15.75">
      <c r="A999" s="209" t="str">
        <f ca="1">IF(ISNA(VLOOKUP(D999,'Standard Smelter Names'!$B$3:$E$165,4,FALSE)),"",VLOOKUP(D999,'Standard Smelter Names'!$B$3:$E$165,4,FALSE))</f>
        <v/>
      </c>
      <c r="B999" s="210"/>
      <c r="C999" s="211"/>
      <c r="D999" s="211" t="str">
        <f t="shared" si="30"/>
        <v/>
      </c>
      <c r="E999" s="210" t="str">
        <f t="shared" si="31"/>
        <v/>
      </c>
      <c r="F999" s="214"/>
      <c r="G999" s="214"/>
      <c r="H999" s="210"/>
      <c r="I999" s="214"/>
      <c r="J999" s="214"/>
      <c r="K999" s="214"/>
      <c r="L999" s="214"/>
      <c r="M999" s="214"/>
      <c r="N999" s="214"/>
      <c r="O999" s="196"/>
    </row>
    <row r="1000" spans="1:15" s="212" customFormat="1" ht="15.75">
      <c r="A1000" s="209" t="str">
        <f ca="1">IF(ISNA(VLOOKUP(D1000,'Standard Smelter Names'!$B$3:$E$165,4,FALSE)),"",VLOOKUP(D1000,'Standard Smelter Names'!$B$3:$E$165,4,FALSE))</f>
        <v/>
      </c>
      <c r="B1000" s="210"/>
      <c r="C1000" s="211"/>
      <c r="D1000" s="211" t="str">
        <f t="shared" si="30"/>
        <v/>
      </c>
      <c r="E1000" s="210" t="str">
        <f t="shared" si="31"/>
        <v/>
      </c>
      <c r="F1000" s="214"/>
      <c r="G1000" s="214"/>
      <c r="H1000" s="210"/>
      <c r="I1000" s="214"/>
      <c r="J1000" s="214"/>
      <c r="K1000" s="214"/>
      <c r="L1000" s="214"/>
      <c r="M1000" s="214"/>
      <c r="N1000" s="214"/>
      <c r="O1000" s="196"/>
    </row>
    <row r="1001" spans="1:15" s="212" customFormat="1" ht="15.75">
      <c r="A1001" s="209" t="str">
        <f ca="1">IF(ISNA(VLOOKUP(D1001,'Standard Smelter Names'!$B$3:$E$165,4,FALSE)),"",VLOOKUP(D1001,'Standard Smelter Names'!$B$3:$E$165,4,FALSE))</f>
        <v/>
      </c>
      <c r="B1001" s="210"/>
      <c r="C1001" s="211"/>
      <c r="D1001" s="211" t="str">
        <f t="shared" si="30"/>
        <v/>
      </c>
      <c r="E1001" s="210" t="str">
        <f t="shared" si="31"/>
        <v/>
      </c>
      <c r="F1001" s="214"/>
      <c r="G1001" s="214"/>
      <c r="H1001" s="210"/>
      <c r="I1001" s="214"/>
      <c r="J1001" s="214"/>
      <c r="K1001" s="214"/>
      <c r="L1001" s="214"/>
      <c r="M1001" s="214"/>
      <c r="N1001" s="214"/>
      <c r="O1001" s="196"/>
    </row>
    <row r="1002" spans="1:15" ht="13.5" customHeight="1" thickBot="1">
      <c r="A1002" s="195"/>
      <c r="B1002" s="303" t="s">
        <v>2584</v>
      </c>
      <c r="C1002" s="303"/>
      <c r="D1002" s="303"/>
      <c r="E1002" s="303"/>
      <c r="F1002" s="303"/>
      <c r="G1002" s="303"/>
      <c r="H1002" s="303"/>
      <c r="I1002" s="303"/>
      <c r="J1002" s="303"/>
      <c r="K1002" s="303"/>
      <c r="L1002" s="303"/>
      <c r="M1002" s="303"/>
      <c r="N1002" s="303"/>
      <c r="O1002" s="197"/>
    </row>
    <row r="1003" spans="1:15" ht="13.5" thickTop="1">
      <c r="B1003" s="76"/>
      <c r="C1003" s="76"/>
      <c r="D1003" s="76"/>
      <c r="E1003" s="76"/>
      <c r="F1003" s="76"/>
      <c r="G1003" s="76"/>
      <c r="H1003" s="76"/>
      <c r="I1003" s="76"/>
      <c r="J1003" s="76"/>
      <c r="K1003" s="76"/>
      <c r="L1003" s="76"/>
      <c r="M1003" s="76"/>
      <c r="N1003" s="183" t="s">
        <v>570</v>
      </c>
    </row>
    <row r="1004" spans="1:15" hidden="1">
      <c r="B1004" s="76"/>
      <c r="C1004" s="76"/>
      <c r="D1004" s="95" t="s">
        <v>1853</v>
      </c>
      <c r="E1004" s="95" t="s">
        <v>1854</v>
      </c>
      <c r="F1004" s="95" t="s">
        <v>1855</v>
      </c>
      <c r="G1004" s="95" t="s">
        <v>1856</v>
      </c>
      <c r="H1004" s="95" t="s">
        <v>1355</v>
      </c>
      <c r="I1004" s="95" t="s">
        <v>1356</v>
      </c>
      <c r="J1004" s="95" t="s">
        <v>1357</v>
      </c>
      <c r="K1004" s="95" t="s">
        <v>1116</v>
      </c>
      <c r="L1004" s="76"/>
      <c r="M1004" s="76"/>
      <c r="N1004" s="76"/>
    </row>
    <row r="1005" spans="1:15" hidden="1">
      <c r="B1005" s="76"/>
      <c r="C1005" s="76"/>
      <c r="D1005" s="163" t="s">
        <v>1774</v>
      </c>
      <c r="E1005" s="163" t="s">
        <v>1272</v>
      </c>
      <c r="F1005" s="163" t="s">
        <v>1873</v>
      </c>
      <c r="G1005" s="163" t="s">
        <v>1900</v>
      </c>
      <c r="H1005" s="163" t="s">
        <v>1273</v>
      </c>
      <c r="I1005" s="163" t="s">
        <v>1774</v>
      </c>
      <c r="J1005" s="163" t="s">
        <v>1274</v>
      </c>
      <c r="K1005" s="163" t="s">
        <v>1275</v>
      </c>
      <c r="L1005" s="76"/>
      <c r="M1005" s="76"/>
      <c r="N1005" s="76"/>
    </row>
    <row r="1006" spans="1:15" hidden="1">
      <c r="B1006" s="76"/>
      <c r="C1006" s="76"/>
      <c r="D1006" s="82" t="s">
        <v>416</v>
      </c>
      <c r="E1006" s="171" t="s">
        <v>417</v>
      </c>
      <c r="F1006" s="171" t="s">
        <v>418</v>
      </c>
      <c r="G1006" s="171" t="s">
        <v>419</v>
      </c>
      <c r="H1006" s="171" t="s">
        <v>420</v>
      </c>
      <c r="I1006" s="171" t="s">
        <v>443</v>
      </c>
      <c r="J1006" s="171" t="s">
        <v>421</v>
      </c>
      <c r="K1006" s="171" t="s">
        <v>422</v>
      </c>
      <c r="L1006" s="76"/>
      <c r="M1006" s="76"/>
      <c r="N1006" s="76"/>
    </row>
    <row r="1007" spans="1:15" hidden="1">
      <c r="B1007" s="76"/>
      <c r="C1007" s="76"/>
      <c r="D1007" s="7" t="s">
        <v>565</v>
      </c>
      <c r="E1007" s="171" t="s">
        <v>800</v>
      </c>
      <c r="F1007" s="171" t="s">
        <v>843</v>
      </c>
      <c r="G1007" s="171" t="s">
        <v>1018</v>
      </c>
      <c r="H1007" s="171" t="s">
        <v>805</v>
      </c>
      <c r="I1007" s="171" t="s">
        <v>444</v>
      </c>
      <c r="J1007" s="171" t="s">
        <v>944</v>
      </c>
      <c r="K1007" s="171" t="s">
        <v>414</v>
      </c>
      <c r="L1007" s="76"/>
      <c r="M1007" s="76"/>
      <c r="N1007" s="76"/>
    </row>
    <row r="1008" spans="1:15" hidden="1">
      <c r="B1008" s="76"/>
      <c r="C1008" s="76"/>
      <c r="D1008" s="163" t="s">
        <v>1959</v>
      </c>
      <c r="E1008" s="163" t="s">
        <v>1276</v>
      </c>
      <c r="F1008" s="163" t="s">
        <v>1277</v>
      </c>
      <c r="G1008" s="163" t="s">
        <v>1278</v>
      </c>
      <c r="H1008" s="163" t="s">
        <v>1279</v>
      </c>
      <c r="I1008" s="163" t="s">
        <v>1280</v>
      </c>
      <c r="J1008" s="82" t="s">
        <v>945</v>
      </c>
      <c r="K1008" s="163" t="s">
        <v>1282</v>
      </c>
      <c r="L1008" s="76"/>
      <c r="M1008" s="76"/>
      <c r="N1008" s="76"/>
    </row>
    <row r="1009" spans="2:22" hidden="1">
      <c r="B1009" s="76"/>
      <c r="C1009" s="76"/>
      <c r="D1009" s="163" t="s">
        <v>1956</v>
      </c>
      <c r="E1009" s="163" t="s">
        <v>1283</v>
      </c>
      <c r="F1009" s="163" t="s">
        <v>1284</v>
      </c>
      <c r="G1009" s="163" t="s">
        <v>1285</v>
      </c>
      <c r="H1009" s="163" t="s">
        <v>1286</v>
      </c>
      <c r="I1009" s="163" t="s">
        <v>1287</v>
      </c>
      <c r="J1009" s="163" t="s">
        <v>946</v>
      </c>
      <c r="K1009" s="163" t="s">
        <v>1288</v>
      </c>
      <c r="L1009" s="76"/>
      <c r="M1009" s="76"/>
      <c r="N1009" s="76"/>
    </row>
    <row r="1010" spans="2:22" hidden="1">
      <c r="B1010" s="76"/>
      <c r="C1010" s="76"/>
      <c r="D1010" s="163" t="s">
        <v>1957</v>
      </c>
      <c r="E1010" s="163" t="s">
        <v>1289</v>
      </c>
      <c r="F1010" s="163" t="s">
        <v>1290</v>
      </c>
      <c r="G1010" s="163" t="s">
        <v>1291</v>
      </c>
      <c r="H1010" s="163" t="s">
        <v>1292</v>
      </c>
      <c r="I1010" s="163" t="s">
        <v>1293</v>
      </c>
      <c r="J1010" s="163" t="s">
        <v>947</v>
      </c>
      <c r="K1010" s="163" t="s">
        <v>1294</v>
      </c>
      <c r="L1010" s="76"/>
      <c r="M1010" s="76"/>
      <c r="N1010" s="76"/>
    </row>
    <row r="1011" spans="2:22" hidden="1">
      <c r="B1011" s="76"/>
      <c r="C1011" s="76"/>
      <c r="D1011" s="163" t="s">
        <v>2454</v>
      </c>
      <c r="E1011" s="163" t="s">
        <v>1295</v>
      </c>
      <c r="F1011" s="163" t="s">
        <v>1296</v>
      </c>
      <c r="G1011" s="163" t="s">
        <v>1297</v>
      </c>
      <c r="H1011" s="163" t="s">
        <v>1298</v>
      </c>
      <c r="I1011" s="163" t="s">
        <v>1299</v>
      </c>
      <c r="J1011" s="163" t="s">
        <v>948</v>
      </c>
      <c r="K1011" s="163" t="s">
        <v>1300</v>
      </c>
      <c r="L1011" s="76"/>
      <c r="M1011" s="76"/>
      <c r="N1011" s="76"/>
    </row>
    <row r="1012" spans="2:22" hidden="1">
      <c r="B1012" s="76"/>
      <c r="C1012" s="76"/>
      <c r="D1012" s="163" t="s">
        <v>1823</v>
      </c>
      <c r="E1012" s="163" t="s">
        <v>1301</v>
      </c>
      <c r="F1012" s="163" t="s">
        <v>1933</v>
      </c>
      <c r="G1012" s="163" t="s">
        <v>1302</v>
      </c>
      <c r="H1012" s="163" t="s">
        <v>1303</v>
      </c>
      <c r="I1012" s="163" t="s">
        <v>1304</v>
      </c>
      <c r="J1012" s="163" t="s">
        <v>949</v>
      </c>
      <c r="K1012" s="163" t="s">
        <v>1305</v>
      </c>
      <c r="L1012" s="76"/>
      <c r="M1012" s="76"/>
      <c r="N1012" s="76"/>
    </row>
    <row r="1013" spans="2:22" hidden="1">
      <c r="B1013" s="76"/>
      <c r="C1013" s="76"/>
      <c r="D1013" s="163" t="s">
        <v>1824</v>
      </c>
      <c r="E1013" s="163" t="s">
        <v>1306</v>
      </c>
      <c r="F1013" s="163" t="s">
        <v>1934</v>
      </c>
      <c r="G1013" s="163" t="s">
        <v>1307</v>
      </c>
      <c r="H1013" s="163" t="s">
        <v>1308</v>
      </c>
      <c r="I1013" s="163" t="s">
        <v>1309</v>
      </c>
      <c r="J1013" s="163" t="s">
        <v>950</v>
      </c>
      <c r="K1013" s="163" t="s">
        <v>1310</v>
      </c>
      <c r="L1013" s="76"/>
      <c r="M1013" s="76"/>
      <c r="N1013" s="76"/>
    </row>
    <row r="1014" spans="2:22" hidden="1">
      <c r="B1014" s="76"/>
      <c r="C1014" s="76"/>
      <c r="D1014" s="163" t="s">
        <v>1775</v>
      </c>
      <c r="E1014" s="163" t="s">
        <v>1874</v>
      </c>
      <c r="F1014" s="163" t="s">
        <v>1935</v>
      </c>
      <c r="G1014" s="163" t="s">
        <v>1311</v>
      </c>
      <c r="H1014" s="163" t="s">
        <v>1312</v>
      </c>
      <c r="I1014" s="163" t="s">
        <v>1313</v>
      </c>
      <c r="J1014" s="163" t="s">
        <v>1314</v>
      </c>
      <c r="K1014" s="163" t="s">
        <v>1315</v>
      </c>
      <c r="L1014" s="76"/>
      <c r="M1014" s="76"/>
      <c r="N1014" s="76"/>
    </row>
    <row r="1015" spans="2:22" hidden="1">
      <c r="B1015" s="76"/>
      <c r="C1015" s="76"/>
      <c r="D1015" s="163" t="s">
        <v>2545</v>
      </c>
      <c r="E1015" s="163" t="s">
        <v>1316</v>
      </c>
      <c r="F1015" s="163" t="s">
        <v>2546</v>
      </c>
      <c r="G1015" s="163" t="s">
        <v>2547</v>
      </c>
      <c r="H1015" s="163" t="s">
        <v>1317</v>
      </c>
      <c r="I1015" s="163" t="s">
        <v>1318</v>
      </c>
      <c r="J1015" s="163" t="s">
        <v>951</v>
      </c>
      <c r="K1015" s="163" t="s">
        <v>1319</v>
      </c>
      <c r="L1015" s="76"/>
      <c r="M1015" s="76"/>
      <c r="N1015" s="76"/>
    </row>
    <row r="1016" spans="2:22" hidden="1">
      <c r="B1016" s="76"/>
      <c r="C1016" s="76"/>
      <c r="D1016" s="163" t="s">
        <v>2548</v>
      </c>
      <c r="E1016" s="163" t="s">
        <v>1320</v>
      </c>
      <c r="F1016" s="163" t="s">
        <v>2549</v>
      </c>
      <c r="G1016" s="163" t="s">
        <v>2550</v>
      </c>
      <c r="H1016" s="163" t="s">
        <v>1321</v>
      </c>
      <c r="I1016" s="163" t="s">
        <v>1322</v>
      </c>
      <c r="J1016" s="163" t="s">
        <v>952</v>
      </c>
      <c r="K1016" s="163" t="s">
        <v>1323</v>
      </c>
      <c r="L1016" s="76"/>
      <c r="M1016" s="76"/>
      <c r="N1016" s="76"/>
    </row>
    <row r="1017" spans="2:22" hidden="1">
      <c r="B1017" s="76"/>
      <c r="C1017" s="76"/>
      <c r="D1017" s="168" t="s">
        <v>1765</v>
      </c>
      <c r="E1017" s="168" t="s">
        <v>1863</v>
      </c>
      <c r="F1017" s="168" t="s">
        <v>1916</v>
      </c>
      <c r="G1017" s="168" t="s">
        <v>1238</v>
      </c>
      <c r="H1017" s="168" t="s">
        <v>1239</v>
      </c>
      <c r="I1017" s="168" t="s">
        <v>1240</v>
      </c>
      <c r="J1017" s="168" t="s">
        <v>943</v>
      </c>
      <c r="K1017" s="168" t="s">
        <v>1242</v>
      </c>
      <c r="L1017" s="76"/>
      <c r="M1017" s="76"/>
      <c r="N1017" s="76"/>
    </row>
    <row r="1018" spans="2:22" hidden="1">
      <c r="B1018" s="76"/>
      <c r="C1018" s="76"/>
      <c r="D1018" s="163" t="s">
        <v>2533</v>
      </c>
      <c r="E1018" s="163" t="s">
        <v>1324</v>
      </c>
      <c r="F1018" s="163" t="s">
        <v>1325</v>
      </c>
      <c r="G1018" s="163" t="s">
        <v>16</v>
      </c>
      <c r="H1018" s="163" t="s">
        <v>1326</v>
      </c>
      <c r="I1018" s="163" t="s">
        <v>1327</v>
      </c>
      <c r="J1018" s="163" t="s">
        <v>953</v>
      </c>
      <c r="K1018" s="163" t="s">
        <v>1328</v>
      </c>
      <c r="L1018" s="76"/>
      <c r="M1018" s="76"/>
      <c r="N1018" s="76"/>
    </row>
    <row r="1019" spans="2:22" hidden="1">
      <c r="B1019" s="76"/>
      <c r="C1019" s="76"/>
      <c r="D1019" s="193" t="s">
        <v>566</v>
      </c>
      <c r="E1019" s="171" t="s">
        <v>801</v>
      </c>
      <c r="F1019" s="194" t="s">
        <v>844</v>
      </c>
      <c r="G1019" s="171" t="s">
        <v>1019</v>
      </c>
      <c r="H1019" s="163" t="s">
        <v>806</v>
      </c>
      <c r="I1019" s="171" t="s">
        <v>445</v>
      </c>
      <c r="J1019" s="171" t="s">
        <v>954</v>
      </c>
      <c r="K1019" s="171" t="s">
        <v>415</v>
      </c>
      <c r="L1019" s="76"/>
      <c r="M1019" s="76"/>
      <c r="N1019" s="76"/>
    </row>
    <row r="1020" spans="2:22" hidden="1">
      <c r="B1020" s="76"/>
      <c r="C1020" s="76"/>
      <c r="D1020" s="76"/>
      <c r="E1020" s="76"/>
      <c r="F1020" s="76"/>
      <c r="G1020" s="76"/>
      <c r="H1020" s="76"/>
      <c r="I1020" s="76"/>
      <c r="J1020" s="76"/>
      <c r="K1020" s="76"/>
      <c r="L1020" s="76"/>
      <c r="M1020" s="76"/>
      <c r="N1020" s="76"/>
    </row>
    <row r="1021" spans="2:22" hidden="1">
      <c r="B1021" s="76"/>
      <c r="C1021" s="76"/>
      <c r="D1021" s="95" t="s">
        <v>2204</v>
      </c>
      <c r="E1021" s="95" t="s">
        <v>1965</v>
      </c>
      <c r="F1021" s="95"/>
      <c r="G1021" s="95" t="s">
        <v>1271</v>
      </c>
      <c r="H1021" s="95" t="s">
        <v>1266</v>
      </c>
      <c r="I1021" s="95" t="s">
        <v>1264</v>
      </c>
      <c r="J1021" s="95"/>
      <c r="K1021" s="95"/>
      <c r="L1021" s="95"/>
      <c r="M1021" s="95"/>
      <c r="N1021" s="95"/>
      <c r="O1021" s="95"/>
      <c r="P1021" s="95"/>
      <c r="Q1021" s="95"/>
      <c r="R1021" s="95"/>
      <c r="S1021" s="95"/>
      <c r="T1021" s="95"/>
      <c r="U1021" s="95"/>
      <c r="V1021" s="95"/>
    </row>
    <row r="1022" spans="2:22" hidden="1">
      <c r="B1022" s="76"/>
      <c r="C1022" s="76"/>
      <c r="D1022" s="76" t="s">
        <v>2208</v>
      </c>
      <c r="E1022" s="76" t="s">
        <v>1969</v>
      </c>
      <c r="F1022" s="95" t="s">
        <v>1267</v>
      </c>
      <c r="G1022" s="95" t="s">
        <v>569</v>
      </c>
      <c r="H1022" s="95"/>
      <c r="I1022" s="95"/>
      <c r="L1022" s="76"/>
    </row>
    <row r="1023" spans="2:22" hidden="1">
      <c r="B1023" s="76"/>
      <c r="C1023" s="76"/>
      <c r="D1023" s="76" t="s">
        <v>2264</v>
      </c>
      <c r="E1023" s="76" t="s">
        <v>2025</v>
      </c>
      <c r="F1023" s="95" t="s">
        <v>1268</v>
      </c>
      <c r="G1023" s="107" t="s">
        <v>2611</v>
      </c>
      <c r="H1023" s="107" t="s">
        <v>2218</v>
      </c>
      <c r="I1023" s="76" t="s">
        <v>1265</v>
      </c>
      <c r="L1023" s="76"/>
    </row>
    <row r="1024" spans="2:22" hidden="1">
      <c r="B1024" s="76"/>
      <c r="C1024" s="76"/>
      <c r="D1024" s="76" t="s">
        <v>2214</v>
      </c>
      <c r="E1024" s="76" t="s">
        <v>1975</v>
      </c>
      <c r="F1024" s="95" t="s">
        <v>1269</v>
      </c>
      <c r="G1024" s="76" t="s">
        <v>849</v>
      </c>
      <c r="H1024" s="76" t="s">
        <v>2313</v>
      </c>
      <c r="I1024" s="76" t="s">
        <v>576</v>
      </c>
      <c r="L1024" s="76"/>
    </row>
    <row r="1025" spans="2:14" hidden="1">
      <c r="B1025" s="76"/>
      <c r="C1025" s="76"/>
      <c r="D1025" s="76" t="s">
        <v>2209</v>
      </c>
      <c r="E1025" s="76" t="s">
        <v>1970</v>
      </c>
      <c r="F1025" s="95" t="s">
        <v>1270</v>
      </c>
      <c r="G1025" s="76" t="s">
        <v>43</v>
      </c>
      <c r="H1025" s="76" t="s">
        <v>2313</v>
      </c>
      <c r="I1025" s="76" t="s">
        <v>43</v>
      </c>
      <c r="L1025" s="76"/>
    </row>
    <row r="1026" spans="2:14" hidden="1">
      <c r="B1026" s="76"/>
      <c r="C1026" s="76"/>
      <c r="D1026" s="76" t="s">
        <v>2206</v>
      </c>
      <c r="E1026" s="76" t="s">
        <v>1967</v>
      </c>
      <c r="F1026" s="76"/>
      <c r="G1026" s="76" t="s">
        <v>848</v>
      </c>
      <c r="H1026" s="76" t="s">
        <v>2259</v>
      </c>
      <c r="I1026" s="76" t="s">
        <v>571</v>
      </c>
      <c r="L1026" s="76"/>
    </row>
    <row r="1027" spans="2:14" hidden="1">
      <c r="B1027" s="76"/>
      <c r="C1027" s="76"/>
      <c r="D1027" s="76" t="s">
        <v>2207</v>
      </c>
      <c r="E1027" s="76" t="s">
        <v>1968</v>
      </c>
      <c r="F1027" s="76"/>
      <c r="G1027" s="76" t="s">
        <v>847</v>
      </c>
      <c r="H1027" s="76" t="s">
        <v>2259</v>
      </c>
      <c r="I1027" s="76" t="s">
        <v>571</v>
      </c>
      <c r="L1027" s="76"/>
    </row>
    <row r="1028" spans="2:14" hidden="1">
      <c r="B1028" s="76"/>
      <c r="C1028" s="76"/>
      <c r="D1028" s="76" t="s">
        <v>2215</v>
      </c>
      <c r="E1028" s="76" t="s">
        <v>1976</v>
      </c>
      <c r="F1028" s="76"/>
      <c r="G1028" s="76" t="s">
        <v>2496</v>
      </c>
      <c r="H1028" s="76" t="s">
        <v>2259</v>
      </c>
      <c r="I1028" s="76" t="s">
        <v>571</v>
      </c>
      <c r="L1028" s="76"/>
    </row>
    <row r="1029" spans="2:14" hidden="1">
      <c r="B1029" s="76"/>
      <c r="C1029" s="76"/>
      <c r="D1029" s="76" t="s">
        <v>2217</v>
      </c>
      <c r="E1029" s="76" t="s">
        <v>1978</v>
      </c>
      <c r="F1029" s="76"/>
      <c r="G1029" s="76" t="s">
        <v>571</v>
      </c>
      <c r="H1029" s="76" t="s">
        <v>2259</v>
      </c>
      <c r="I1029" s="76" t="s">
        <v>571</v>
      </c>
      <c r="L1029" s="76"/>
    </row>
    <row r="1030" spans="2:14" hidden="1">
      <c r="B1030" s="76"/>
      <c r="C1030" s="76"/>
      <c r="D1030" s="76" t="s">
        <v>2212</v>
      </c>
      <c r="E1030" s="76" t="s">
        <v>1973</v>
      </c>
      <c r="F1030" s="76"/>
      <c r="G1030" s="76" t="s">
        <v>2497</v>
      </c>
      <c r="H1030" s="76" t="s">
        <v>2427</v>
      </c>
      <c r="I1030" s="76" t="s">
        <v>2497</v>
      </c>
      <c r="L1030" s="76"/>
    </row>
    <row r="1031" spans="2:14" hidden="1">
      <c r="B1031" s="76"/>
      <c r="C1031" s="76"/>
      <c r="D1031" s="76" t="s">
        <v>2213</v>
      </c>
      <c r="E1031" s="76" t="s">
        <v>1974</v>
      </c>
      <c r="F1031" s="76"/>
      <c r="G1031" s="76" t="s">
        <v>574</v>
      </c>
      <c r="H1031" s="76" t="s">
        <v>2234</v>
      </c>
      <c r="I1031" s="76" t="s">
        <v>573</v>
      </c>
      <c r="L1031" s="76"/>
    </row>
    <row r="1032" spans="2:14" hidden="1">
      <c r="B1032" s="76"/>
      <c r="C1032" s="76"/>
      <c r="D1032" s="76" t="s">
        <v>2205</v>
      </c>
      <c r="E1032" s="76" t="s">
        <v>1966</v>
      </c>
      <c r="F1032" s="76"/>
      <c r="G1032" s="76" t="s">
        <v>573</v>
      </c>
      <c r="H1032" s="76" t="s">
        <v>2234</v>
      </c>
      <c r="I1032" s="76" t="s">
        <v>573</v>
      </c>
      <c r="L1032" s="76"/>
    </row>
    <row r="1033" spans="2:14" hidden="1">
      <c r="B1033" s="76"/>
      <c r="C1033" s="76"/>
      <c r="D1033" s="76" t="s">
        <v>2218</v>
      </c>
      <c r="E1033" s="76" t="s">
        <v>1979</v>
      </c>
      <c r="F1033" s="76"/>
      <c r="G1033" s="76" t="s">
        <v>2498</v>
      </c>
      <c r="H1033" s="76" t="s">
        <v>2243</v>
      </c>
      <c r="I1033" s="76" t="s">
        <v>575</v>
      </c>
      <c r="L1033" s="76"/>
    </row>
    <row r="1034" spans="2:14" hidden="1">
      <c r="B1034" s="76"/>
      <c r="C1034" s="76"/>
      <c r="D1034" s="76" t="s">
        <v>2219</v>
      </c>
      <c r="E1034" s="76" t="s">
        <v>1980</v>
      </c>
      <c r="F1034" s="76"/>
      <c r="G1034" s="76" t="s">
        <v>575</v>
      </c>
      <c r="H1034" s="76" t="s">
        <v>2243</v>
      </c>
      <c r="I1034" s="76" t="s">
        <v>575</v>
      </c>
      <c r="L1034" s="76"/>
    </row>
    <row r="1035" spans="2:14" hidden="1">
      <c r="B1035" s="76"/>
      <c r="C1035" s="76"/>
      <c r="D1035" s="76" t="s">
        <v>2220</v>
      </c>
      <c r="E1035" s="76" t="s">
        <v>1981</v>
      </c>
      <c r="F1035" s="76"/>
      <c r="G1035" s="76" t="s">
        <v>576</v>
      </c>
      <c r="H1035" s="76" t="s">
        <v>2313</v>
      </c>
      <c r="I1035" s="76" t="s">
        <v>576</v>
      </c>
      <c r="L1035" s="76"/>
    </row>
    <row r="1036" spans="2:14" hidden="1">
      <c r="B1036" s="76"/>
      <c r="C1036" s="76"/>
      <c r="D1036" s="76" t="s">
        <v>2228</v>
      </c>
      <c r="E1036" s="76" t="s">
        <v>1989</v>
      </c>
      <c r="F1036" s="76"/>
      <c r="G1036" s="76" t="s">
        <v>850</v>
      </c>
      <c r="H1036" s="76" t="s">
        <v>2313</v>
      </c>
      <c r="I1036" s="76" t="s">
        <v>576</v>
      </c>
      <c r="L1036" s="76"/>
    </row>
    <row r="1037" spans="2:14" hidden="1">
      <c r="B1037" s="76"/>
      <c r="C1037" s="76"/>
      <c r="D1037" s="76" t="s">
        <v>2227</v>
      </c>
      <c r="E1037" s="76" t="s">
        <v>1988</v>
      </c>
      <c r="F1037" s="76"/>
      <c r="G1037" s="76" t="s">
        <v>44</v>
      </c>
      <c r="H1037" s="76" t="s">
        <v>2313</v>
      </c>
      <c r="I1037" s="76" t="s">
        <v>44</v>
      </c>
      <c r="L1037" s="76"/>
      <c r="M1037" s="76"/>
      <c r="N1037" s="76"/>
    </row>
    <row r="1038" spans="2:14" hidden="1">
      <c r="B1038" s="76"/>
      <c r="C1038" s="76"/>
      <c r="D1038" s="76" t="s">
        <v>2225</v>
      </c>
      <c r="E1038" s="76" t="s">
        <v>1986</v>
      </c>
      <c r="F1038" s="76"/>
      <c r="G1038" s="76" t="s">
        <v>578</v>
      </c>
      <c r="H1038" s="76" t="s">
        <v>2418</v>
      </c>
      <c r="I1038" s="76" t="s">
        <v>577</v>
      </c>
      <c r="L1038" s="76"/>
      <c r="M1038" s="76"/>
      <c r="N1038" s="76"/>
    </row>
    <row r="1039" spans="2:14" hidden="1">
      <c r="B1039" s="76"/>
      <c r="C1039" s="76"/>
      <c r="D1039" s="76" t="s">
        <v>2235</v>
      </c>
      <c r="E1039" s="76" t="s">
        <v>1996</v>
      </c>
      <c r="F1039" s="76"/>
      <c r="G1039" s="76" t="s">
        <v>577</v>
      </c>
      <c r="H1039" s="76" t="s">
        <v>2418</v>
      </c>
      <c r="I1039" s="76" t="s">
        <v>577</v>
      </c>
      <c r="L1039" s="76"/>
      <c r="M1039" s="76"/>
      <c r="N1039" s="76"/>
    </row>
    <row r="1040" spans="2:14" hidden="1">
      <c r="B1040" s="76"/>
      <c r="C1040" s="76"/>
      <c r="D1040" s="76" t="s">
        <v>2230</v>
      </c>
      <c r="E1040" s="76" t="s">
        <v>1991</v>
      </c>
      <c r="F1040" s="76"/>
      <c r="G1040" s="76" t="s">
        <v>2499</v>
      </c>
      <c r="H1040" s="76" t="s">
        <v>2259</v>
      </c>
      <c r="I1040" s="76" t="s">
        <v>579</v>
      </c>
      <c r="L1040" s="76"/>
      <c r="M1040" s="76"/>
      <c r="N1040" s="76"/>
    </row>
    <row r="1041" spans="2:14" hidden="1">
      <c r="B1041" s="76"/>
      <c r="C1041" s="76"/>
      <c r="D1041" s="76" t="s">
        <v>2222</v>
      </c>
      <c r="E1041" s="76" t="s">
        <v>1983</v>
      </c>
      <c r="F1041" s="76"/>
      <c r="G1041" s="76" t="s">
        <v>579</v>
      </c>
      <c r="H1041" s="76" t="s">
        <v>2259</v>
      </c>
      <c r="I1041" s="76" t="s">
        <v>579</v>
      </c>
      <c r="L1041" s="76"/>
      <c r="M1041" s="76"/>
      <c r="N1041" s="76"/>
    </row>
    <row r="1042" spans="2:14" hidden="1">
      <c r="B1042" s="76"/>
      <c r="C1042" s="76"/>
      <c r="D1042" s="76" t="s">
        <v>2231</v>
      </c>
      <c r="E1042" s="76" t="s">
        <v>1992</v>
      </c>
      <c r="F1042" s="76"/>
      <c r="G1042" s="76" t="s">
        <v>2500</v>
      </c>
      <c r="H1042" s="76" t="s">
        <v>2372</v>
      </c>
      <c r="I1042" s="76" t="s">
        <v>2500</v>
      </c>
      <c r="L1042" s="76"/>
      <c r="M1042" s="76"/>
      <c r="N1042" s="76"/>
    </row>
    <row r="1043" spans="2:14" hidden="1">
      <c r="B1043" s="76"/>
      <c r="C1043" s="76"/>
      <c r="D1043" s="76" t="s">
        <v>2223</v>
      </c>
      <c r="E1043" s="76" t="s">
        <v>1984</v>
      </c>
      <c r="F1043" s="76"/>
      <c r="G1043" s="76" t="s">
        <v>582</v>
      </c>
      <c r="H1043" s="76" t="s">
        <v>2403</v>
      </c>
      <c r="I1043" s="76" t="s">
        <v>582</v>
      </c>
      <c r="L1043" s="76"/>
      <c r="M1043" s="76"/>
      <c r="N1043" s="76"/>
    </row>
    <row r="1044" spans="2:14" hidden="1">
      <c r="B1044" s="76"/>
      <c r="C1044" s="76"/>
      <c r="D1044" s="76" t="s">
        <v>2232</v>
      </c>
      <c r="E1044" s="76" t="s">
        <v>1993</v>
      </c>
      <c r="F1044" s="76"/>
      <c r="G1044" s="76" t="s">
        <v>1803</v>
      </c>
      <c r="H1044" s="76" t="s">
        <v>2403</v>
      </c>
      <c r="I1044" s="76" t="s">
        <v>582</v>
      </c>
      <c r="L1044" s="76"/>
      <c r="M1044" s="76"/>
      <c r="N1044" s="76"/>
    </row>
    <row r="1045" spans="2:14" hidden="1">
      <c r="B1045" s="76"/>
      <c r="C1045" s="76"/>
      <c r="D1045" s="76" t="s">
        <v>2237</v>
      </c>
      <c r="E1045" s="76" t="s">
        <v>1998</v>
      </c>
      <c r="F1045" s="76"/>
      <c r="G1045" s="76" t="s">
        <v>897</v>
      </c>
      <c r="H1045" s="76" t="s">
        <v>2241</v>
      </c>
      <c r="I1045" s="76" t="s">
        <v>629</v>
      </c>
      <c r="L1045" s="76"/>
      <c r="M1045" s="76"/>
      <c r="N1045" s="76"/>
    </row>
    <row r="1046" spans="2:14" hidden="1">
      <c r="B1046" s="76"/>
      <c r="C1046" s="76"/>
      <c r="D1046" s="76" t="s">
        <v>2233</v>
      </c>
      <c r="E1046" s="76" t="s">
        <v>1994</v>
      </c>
      <c r="F1046" s="76"/>
      <c r="G1046" s="76" t="s">
        <v>2501</v>
      </c>
      <c r="H1046" s="76" t="s">
        <v>2339</v>
      </c>
      <c r="I1046" s="76" t="s">
        <v>2501</v>
      </c>
      <c r="L1046" s="76"/>
      <c r="M1046" s="76"/>
      <c r="N1046" s="76"/>
    </row>
    <row r="1047" spans="2:14" hidden="1">
      <c r="B1047" s="76"/>
      <c r="C1047" s="76"/>
      <c r="D1047" s="76" t="s">
        <v>2229</v>
      </c>
      <c r="E1047" s="76" t="s">
        <v>1990</v>
      </c>
      <c r="F1047" s="76"/>
      <c r="G1047" s="76" t="s">
        <v>898</v>
      </c>
      <c r="H1047" s="76" t="s">
        <v>2241</v>
      </c>
      <c r="I1047" s="76" t="s">
        <v>629</v>
      </c>
      <c r="L1047" s="76"/>
      <c r="M1047" s="76"/>
      <c r="N1047" s="76"/>
    </row>
    <row r="1048" spans="2:14" hidden="1">
      <c r="B1048" s="76"/>
      <c r="C1048" s="76"/>
      <c r="D1048" s="76" t="s">
        <v>2239</v>
      </c>
      <c r="E1048" s="76" t="s">
        <v>2000</v>
      </c>
      <c r="F1048" s="76"/>
      <c r="G1048" s="76" t="s">
        <v>583</v>
      </c>
      <c r="H1048" s="76" t="s">
        <v>2243</v>
      </c>
      <c r="I1048" s="76" t="s">
        <v>583</v>
      </c>
      <c r="L1048" s="76"/>
      <c r="M1048" s="76"/>
      <c r="N1048" s="76"/>
    </row>
    <row r="1049" spans="2:14" hidden="1">
      <c r="B1049" s="76"/>
      <c r="C1049" s="76"/>
      <c r="D1049" s="76" t="s">
        <v>2238</v>
      </c>
      <c r="E1049" s="76" t="s">
        <v>1999</v>
      </c>
      <c r="F1049" s="76"/>
      <c r="G1049" s="76" t="s">
        <v>584</v>
      </c>
      <c r="H1049" s="76" t="s">
        <v>2243</v>
      </c>
      <c r="I1049" s="76" t="s">
        <v>583</v>
      </c>
      <c r="L1049" s="76"/>
      <c r="M1049" s="76"/>
      <c r="N1049" s="76"/>
    </row>
    <row r="1050" spans="2:14" hidden="1">
      <c r="B1050" s="76"/>
      <c r="C1050" s="76"/>
      <c r="D1050" s="76" t="s">
        <v>2234</v>
      </c>
      <c r="E1050" s="76" t="s">
        <v>1995</v>
      </c>
      <c r="F1050" s="76"/>
      <c r="G1050" s="76" t="s">
        <v>2502</v>
      </c>
      <c r="H1050" s="76" t="s">
        <v>2320</v>
      </c>
      <c r="I1050" s="76" t="s">
        <v>2502</v>
      </c>
      <c r="L1050" s="76"/>
      <c r="M1050" s="76"/>
      <c r="N1050" s="76"/>
    </row>
    <row r="1051" spans="2:14" hidden="1">
      <c r="B1051" s="76"/>
      <c r="C1051" s="76"/>
      <c r="D1051" s="76" t="s">
        <v>2304</v>
      </c>
      <c r="E1051" s="76" t="s">
        <v>2065</v>
      </c>
      <c r="F1051" s="76"/>
      <c r="G1051" s="76" t="s">
        <v>581</v>
      </c>
      <c r="H1051" s="76" t="s">
        <v>2372</v>
      </c>
      <c r="I1051" s="76" t="s">
        <v>2500</v>
      </c>
      <c r="L1051" s="76"/>
      <c r="M1051" s="76"/>
      <c r="N1051" s="76"/>
    </row>
    <row r="1052" spans="2:14" hidden="1">
      <c r="B1052" s="76"/>
      <c r="C1052" s="76"/>
      <c r="D1052" s="76" t="s">
        <v>2236</v>
      </c>
      <c r="E1052" s="76" t="s">
        <v>1997</v>
      </c>
      <c r="F1052" s="76"/>
      <c r="G1052" s="76" t="s">
        <v>585</v>
      </c>
      <c r="H1052" s="76" t="s">
        <v>2310</v>
      </c>
      <c r="I1052" s="76" t="s">
        <v>1804</v>
      </c>
      <c r="L1052" s="76"/>
      <c r="M1052" s="76"/>
      <c r="N1052" s="76"/>
    </row>
    <row r="1053" spans="2:14" hidden="1">
      <c r="B1053" s="76"/>
      <c r="C1053" s="76"/>
      <c r="D1053" s="76" t="s">
        <v>2226</v>
      </c>
      <c r="E1053" s="76" t="s">
        <v>1987</v>
      </c>
      <c r="F1053" s="76"/>
      <c r="G1053" s="76" t="s">
        <v>1804</v>
      </c>
      <c r="H1053" s="76" t="s">
        <v>2310</v>
      </c>
      <c r="I1053" s="76" t="s">
        <v>1804</v>
      </c>
      <c r="L1053" s="76"/>
      <c r="M1053" s="76"/>
      <c r="N1053" s="76"/>
    </row>
    <row r="1054" spans="2:14" hidden="1">
      <c r="B1054" s="76"/>
      <c r="C1054" s="76"/>
      <c r="D1054" s="76" t="s">
        <v>2224</v>
      </c>
      <c r="E1054" s="76" t="s">
        <v>1985</v>
      </c>
      <c r="F1054" s="76"/>
      <c r="G1054" s="76" t="s">
        <v>878</v>
      </c>
      <c r="H1054" s="76" t="s">
        <v>2245</v>
      </c>
      <c r="I1054" s="76" t="s">
        <v>614</v>
      </c>
      <c r="L1054" s="76"/>
      <c r="M1054" s="76"/>
      <c r="N1054" s="76"/>
    </row>
    <row r="1055" spans="2:14" hidden="1">
      <c r="B1055" s="76"/>
      <c r="C1055" s="76"/>
      <c r="D1055" s="76" t="s">
        <v>2221</v>
      </c>
      <c r="E1055" s="76" t="s">
        <v>1982</v>
      </c>
      <c r="F1055" s="76"/>
      <c r="G1055" s="76" t="s">
        <v>146</v>
      </c>
      <c r="H1055" s="76" t="s">
        <v>2313</v>
      </c>
      <c r="I1055" s="76" t="s">
        <v>146</v>
      </c>
      <c r="L1055" s="76"/>
      <c r="M1055" s="76"/>
      <c r="N1055" s="76"/>
    </row>
    <row r="1056" spans="2:14" hidden="1">
      <c r="B1056" s="76"/>
      <c r="C1056" s="76"/>
      <c r="D1056" s="76" t="s">
        <v>2317</v>
      </c>
      <c r="E1056" s="76" t="s">
        <v>2078</v>
      </c>
      <c r="F1056" s="76"/>
      <c r="G1056" s="76" t="s">
        <v>2503</v>
      </c>
      <c r="H1056" s="76" t="s">
        <v>2244</v>
      </c>
      <c r="I1056" s="76" t="s">
        <v>2503</v>
      </c>
      <c r="L1056" s="76"/>
      <c r="M1056" s="76"/>
      <c r="N1056" s="76"/>
    </row>
    <row r="1057" spans="2:14" hidden="1">
      <c r="B1057" s="76"/>
      <c r="C1057" s="76"/>
      <c r="D1057" s="76" t="s">
        <v>2247</v>
      </c>
      <c r="E1057" s="76" t="s">
        <v>2008</v>
      </c>
      <c r="F1057" s="76"/>
      <c r="G1057" s="76" t="s">
        <v>2504</v>
      </c>
      <c r="H1057" s="76" t="s">
        <v>2313</v>
      </c>
      <c r="I1057" s="76" t="s">
        <v>2504</v>
      </c>
      <c r="L1057" s="76"/>
      <c r="M1057" s="76"/>
      <c r="N1057" s="76"/>
    </row>
    <row r="1058" spans="2:14" hidden="1">
      <c r="B1058" s="76"/>
      <c r="C1058" s="76"/>
      <c r="D1058" s="76" t="s">
        <v>2241</v>
      </c>
      <c r="E1058" s="76" t="s">
        <v>2002</v>
      </c>
      <c r="F1058" s="76"/>
      <c r="G1058" s="76" t="s">
        <v>857</v>
      </c>
      <c r="H1058" s="76" t="s">
        <v>2313</v>
      </c>
      <c r="I1058" s="76" t="s">
        <v>2504</v>
      </c>
      <c r="L1058" s="76"/>
      <c r="M1058" s="76"/>
      <c r="N1058" s="76"/>
    </row>
    <row r="1059" spans="2:14" hidden="1">
      <c r="B1059" s="76"/>
      <c r="C1059" s="76"/>
      <c r="D1059" s="76" t="s">
        <v>2252</v>
      </c>
      <c r="E1059" s="76" t="s">
        <v>2013</v>
      </c>
      <c r="F1059" s="76"/>
      <c r="G1059" s="76" t="s">
        <v>852</v>
      </c>
      <c r="H1059" s="76" t="s">
        <v>2313</v>
      </c>
      <c r="I1059" s="76" t="s">
        <v>2504</v>
      </c>
      <c r="L1059" s="76"/>
      <c r="M1059" s="76"/>
      <c r="N1059" s="76"/>
    </row>
    <row r="1060" spans="2:14" hidden="1">
      <c r="B1060" s="76"/>
      <c r="C1060" s="76"/>
      <c r="D1060" s="76" t="s">
        <v>2256</v>
      </c>
      <c r="E1060" s="76" t="s">
        <v>2017</v>
      </c>
      <c r="F1060" s="76"/>
      <c r="G1060" s="76" t="s">
        <v>855</v>
      </c>
      <c r="H1060" s="76" t="s">
        <v>2313</v>
      </c>
      <c r="I1060" s="76" t="s">
        <v>2504</v>
      </c>
      <c r="L1060" s="76"/>
      <c r="M1060" s="76"/>
      <c r="N1060" s="76"/>
    </row>
    <row r="1061" spans="2:14" hidden="1">
      <c r="B1061" s="76"/>
      <c r="C1061" s="76"/>
      <c r="D1061" s="76" t="s">
        <v>2240</v>
      </c>
      <c r="E1061" s="76" t="s">
        <v>2001</v>
      </c>
      <c r="F1061" s="76"/>
      <c r="G1061" s="76" t="s">
        <v>853</v>
      </c>
      <c r="H1061" s="76" t="s">
        <v>2313</v>
      </c>
      <c r="I1061" s="76" t="s">
        <v>2504</v>
      </c>
      <c r="L1061" s="76"/>
      <c r="M1061" s="76"/>
      <c r="N1061" s="76"/>
    </row>
    <row r="1062" spans="2:14" hidden="1">
      <c r="B1062" s="76"/>
      <c r="C1062" s="76"/>
      <c r="D1062" s="76" t="s">
        <v>2408</v>
      </c>
      <c r="E1062" s="76" t="s">
        <v>2169</v>
      </c>
      <c r="F1062" s="76"/>
      <c r="G1062" s="76" t="s">
        <v>856</v>
      </c>
      <c r="H1062" s="76" t="s">
        <v>2313</v>
      </c>
      <c r="I1062" s="76" t="s">
        <v>2504</v>
      </c>
      <c r="L1062" s="76"/>
      <c r="M1062" s="76"/>
      <c r="N1062" s="76"/>
    </row>
    <row r="1063" spans="2:14" hidden="1">
      <c r="B1063" s="76"/>
      <c r="C1063" s="76"/>
      <c r="D1063" s="76" t="s">
        <v>2244</v>
      </c>
      <c r="E1063" s="76" t="s">
        <v>2005</v>
      </c>
      <c r="F1063" s="76"/>
      <c r="G1063" s="76" t="s">
        <v>854</v>
      </c>
      <c r="H1063" s="76" t="s">
        <v>2313</v>
      </c>
      <c r="I1063" s="76" t="s">
        <v>2504</v>
      </c>
      <c r="L1063" s="76"/>
      <c r="M1063" s="76"/>
      <c r="N1063" s="76"/>
    </row>
    <row r="1064" spans="2:14" hidden="1">
      <c r="B1064" s="76"/>
      <c r="C1064" s="76"/>
      <c r="D1064" s="76" t="s">
        <v>2245</v>
      </c>
      <c r="E1064" s="76" t="s">
        <v>2006</v>
      </c>
      <c r="F1064" s="76"/>
      <c r="G1064" s="76" t="s">
        <v>594</v>
      </c>
      <c r="H1064" s="76" t="s">
        <v>2384</v>
      </c>
      <c r="I1064" s="76" t="s">
        <v>2507</v>
      </c>
      <c r="L1064" s="76"/>
      <c r="M1064" s="76"/>
      <c r="N1064" s="76"/>
    </row>
    <row r="1065" spans="2:14" hidden="1">
      <c r="B1065" s="76"/>
      <c r="C1065" s="76"/>
      <c r="D1065" s="76" t="s">
        <v>2255</v>
      </c>
      <c r="E1065" s="76" t="s">
        <v>2016</v>
      </c>
      <c r="F1065" s="76"/>
      <c r="G1065" s="76" t="s">
        <v>2505</v>
      </c>
      <c r="H1065" s="76" t="s">
        <v>2384</v>
      </c>
      <c r="I1065" s="76" t="s">
        <v>2505</v>
      </c>
      <c r="L1065" s="76"/>
      <c r="M1065" s="76"/>
      <c r="N1065" s="76"/>
    </row>
    <row r="1066" spans="2:14" hidden="1">
      <c r="B1066" s="76"/>
      <c r="C1066" s="76"/>
      <c r="D1066" s="76" t="s">
        <v>2242</v>
      </c>
      <c r="E1066" s="76" t="s">
        <v>2003</v>
      </c>
      <c r="F1066" s="76"/>
      <c r="G1066" s="76" t="s">
        <v>623</v>
      </c>
      <c r="H1066" s="76" t="s">
        <v>2245</v>
      </c>
      <c r="I1066" s="76" t="s">
        <v>1807</v>
      </c>
      <c r="L1066" s="76"/>
      <c r="M1066" s="76"/>
      <c r="N1066" s="76"/>
    </row>
    <row r="1067" spans="2:14" hidden="1">
      <c r="B1067" s="76"/>
      <c r="C1067" s="76"/>
      <c r="D1067" s="76" t="s">
        <v>2250</v>
      </c>
      <c r="E1067" s="76" t="s">
        <v>2011</v>
      </c>
      <c r="F1067" s="76"/>
      <c r="G1067" s="76" t="s">
        <v>1562</v>
      </c>
      <c r="H1067" s="76" t="s">
        <v>2259</v>
      </c>
      <c r="I1067" s="76" t="s">
        <v>1562</v>
      </c>
      <c r="L1067" s="76"/>
      <c r="M1067" s="76"/>
      <c r="N1067" s="76"/>
    </row>
    <row r="1068" spans="2:14" hidden="1">
      <c r="B1068" s="76"/>
      <c r="C1068" s="76"/>
      <c r="D1068" s="76" t="s">
        <v>2251</v>
      </c>
      <c r="E1068" s="76" t="s">
        <v>2012</v>
      </c>
      <c r="F1068" s="76"/>
      <c r="G1068" s="76" t="s">
        <v>858</v>
      </c>
      <c r="H1068" s="76" t="s">
        <v>2259</v>
      </c>
      <c r="I1068" s="76" t="s">
        <v>586</v>
      </c>
      <c r="L1068" s="76"/>
      <c r="M1068" s="76"/>
      <c r="N1068" s="76"/>
    </row>
    <row r="1069" spans="2:14" hidden="1">
      <c r="B1069" s="76"/>
      <c r="C1069" s="76"/>
      <c r="D1069" s="76" t="s">
        <v>2248</v>
      </c>
      <c r="E1069" s="76" t="s">
        <v>2009</v>
      </c>
      <c r="F1069" s="76"/>
      <c r="G1069" s="76" t="s">
        <v>859</v>
      </c>
      <c r="H1069" s="76" t="s">
        <v>2259</v>
      </c>
      <c r="I1069" s="76" t="s">
        <v>586</v>
      </c>
      <c r="L1069" s="76"/>
      <c r="M1069" s="76"/>
      <c r="N1069" s="76"/>
    </row>
    <row r="1070" spans="2:14" hidden="1">
      <c r="B1070" s="76"/>
      <c r="C1070" s="76"/>
      <c r="D1070" s="76" t="s">
        <v>2249</v>
      </c>
      <c r="E1070" s="76" t="s">
        <v>2010</v>
      </c>
      <c r="F1070" s="76"/>
      <c r="G1070" s="76" t="s">
        <v>862</v>
      </c>
      <c r="H1070" s="76" t="s">
        <v>2296</v>
      </c>
      <c r="I1070" s="76" t="s">
        <v>587</v>
      </c>
      <c r="J1070" s="76"/>
      <c r="K1070" s="76"/>
      <c r="L1070" s="76"/>
      <c r="M1070" s="76"/>
      <c r="N1070" s="76"/>
    </row>
    <row r="1071" spans="2:14" hidden="1">
      <c r="B1071" s="76"/>
      <c r="C1071" s="76"/>
      <c r="D1071" s="76" t="s">
        <v>2253</v>
      </c>
      <c r="E1071" s="76" t="s">
        <v>2014</v>
      </c>
      <c r="F1071" s="76"/>
      <c r="G1071" s="76" t="s">
        <v>863</v>
      </c>
      <c r="H1071" s="76" t="s">
        <v>2296</v>
      </c>
      <c r="I1071" s="76" t="s">
        <v>587</v>
      </c>
      <c r="J1071" s="76"/>
      <c r="K1071" s="76"/>
      <c r="L1071" s="76"/>
      <c r="M1071" s="76"/>
      <c r="N1071" s="76"/>
    </row>
    <row r="1072" spans="2:14" hidden="1">
      <c r="B1072" s="76"/>
      <c r="C1072" s="76"/>
      <c r="D1072" s="76" t="s">
        <v>2246</v>
      </c>
      <c r="E1072" s="76" t="s">
        <v>2007</v>
      </c>
      <c r="F1072" s="76"/>
      <c r="G1072" s="76" t="s">
        <v>587</v>
      </c>
      <c r="H1072" s="76" t="s">
        <v>2296</v>
      </c>
      <c r="I1072" s="76" t="s">
        <v>587</v>
      </c>
      <c r="J1072" s="76"/>
      <c r="K1072" s="76"/>
      <c r="L1072" s="76"/>
      <c r="M1072" s="76"/>
      <c r="N1072" s="76"/>
    </row>
    <row r="1073" spans="2:14" hidden="1">
      <c r="B1073" s="76"/>
      <c r="C1073" s="76"/>
      <c r="D1073" s="76" t="s">
        <v>2299</v>
      </c>
      <c r="E1073" s="76" t="s">
        <v>2060</v>
      </c>
      <c r="F1073" s="76"/>
      <c r="G1073" s="76" t="s">
        <v>860</v>
      </c>
      <c r="H1073" s="76" t="s">
        <v>2259</v>
      </c>
      <c r="I1073" s="76" t="s">
        <v>586</v>
      </c>
      <c r="J1073" s="76"/>
      <c r="K1073" s="76"/>
      <c r="L1073" s="76"/>
      <c r="M1073" s="76"/>
      <c r="N1073" s="76"/>
    </row>
    <row r="1074" spans="2:14" hidden="1">
      <c r="B1074" s="76"/>
      <c r="C1074" s="76"/>
      <c r="D1074" s="76" t="s">
        <v>2254</v>
      </c>
      <c r="E1074" s="76" t="s">
        <v>2015</v>
      </c>
      <c r="F1074" s="76"/>
      <c r="G1074" s="76" t="s">
        <v>586</v>
      </c>
      <c r="H1074" s="76" t="s">
        <v>2259</v>
      </c>
      <c r="I1074" s="76" t="s">
        <v>586</v>
      </c>
      <c r="J1074" s="76"/>
      <c r="K1074" s="76"/>
      <c r="L1074" s="76"/>
      <c r="M1074" s="76"/>
      <c r="N1074" s="76"/>
    </row>
    <row r="1075" spans="2:14" hidden="1">
      <c r="B1075" s="76"/>
      <c r="C1075" s="76"/>
      <c r="D1075" s="76" t="s">
        <v>2257</v>
      </c>
      <c r="E1075" s="76" t="s">
        <v>2018</v>
      </c>
      <c r="F1075" s="76"/>
      <c r="G1075" s="76" t="s">
        <v>864</v>
      </c>
      <c r="H1075" s="76" t="s">
        <v>2296</v>
      </c>
      <c r="I1075" s="76" t="s">
        <v>587</v>
      </c>
      <c r="J1075" s="76"/>
      <c r="K1075" s="76"/>
      <c r="L1075" s="76"/>
      <c r="M1075" s="76"/>
      <c r="N1075" s="76"/>
    </row>
    <row r="1076" spans="2:14" hidden="1">
      <c r="B1076" s="76"/>
      <c r="C1076" s="76"/>
      <c r="D1076" s="76" t="s">
        <v>2258</v>
      </c>
      <c r="E1076" s="76" t="s">
        <v>2019</v>
      </c>
      <c r="F1076" s="76"/>
      <c r="G1076" s="76" t="s">
        <v>899</v>
      </c>
      <c r="H1076" s="76" t="s">
        <v>2241</v>
      </c>
      <c r="I1076" s="76" t="s">
        <v>629</v>
      </c>
      <c r="J1076" s="76"/>
      <c r="K1076" s="76"/>
      <c r="L1076" s="76"/>
      <c r="M1076" s="76"/>
      <c r="N1076" s="76"/>
    </row>
    <row r="1077" spans="2:14" hidden="1">
      <c r="B1077" s="76"/>
      <c r="C1077" s="76"/>
      <c r="D1077" s="76" t="s">
        <v>2262</v>
      </c>
      <c r="E1077" s="76" t="s">
        <v>2023</v>
      </c>
      <c r="F1077" s="76"/>
      <c r="G1077" s="76" t="s">
        <v>2627</v>
      </c>
      <c r="H1077" s="76" t="s">
        <v>2245</v>
      </c>
      <c r="I1077" s="76" t="s">
        <v>2627</v>
      </c>
      <c r="J1077" s="76"/>
      <c r="K1077" s="76"/>
      <c r="L1077" s="76"/>
      <c r="M1077" s="76"/>
      <c r="N1077" s="76"/>
    </row>
    <row r="1078" spans="2:14" hidden="1">
      <c r="B1078" s="76"/>
      <c r="C1078" s="76"/>
      <c r="D1078" s="76" t="s">
        <v>2260</v>
      </c>
      <c r="E1078" s="76" t="s">
        <v>2021</v>
      </c>
      <c r="F1078" s="76"/>
      <c r="G1078" s="76" t="s">
        <v>589</v>
      </c>
      <c r="H1078" s="76" t="s">
        <v>2313</v>
      </c>
      <c r="I1078" s="76" t="s">
        <v>589</v>
      </c>
      <c r="J1078" s="76"/>
      <c r="K1078" s="76"/>
      <c r="L1078" s="76"/>
      <c r="M1078" s="76"/>
      <c r="N1078" s="76"/>
    </row>
    <row r="1079" spans="2:14" hidden="1">
      <c r="B1079" s="76"/>
      <c r="C1079" s="76"/>
      <c r="D1079" s="76" t="s">
        <v>2261</v>
      </c>
      <c r="E1079" s="76" t="s">
        <v>2022</v>
      </c>
      <c r="F1079" s="76"/>
      <c r="G1079" s="76" t="s">
        <v>590</v>
      </c>
      <c r="H1079" s="76" t="s">
        <v>2313</v>
      </c>
      <c r="I1079" s="76" t="s">
        <v>589</v>
      </c>
      <c r="J1079" s="76"/>
      <c r="K1079" s="76"/>
      <c r="L1079" s="76"/>
      <c r="M1079" s="76"/>
      <c r="N1079" s="76"/>
    </row>
    <row r="1080" spans="2:14" hidden="1">
      <c r="B1080" s="76"/>
      <c r="C1080" s="76"/>
      <c r="D1080" s="76" t="s">
        <v>2263</v>
      </c>
      <c r="E1080" s="76" t="s">
        <v>2024</v>
      </c>
      <c r="F1080" s="76"/>
      <c r="G1080" s="76" t="s">
        <v>636</v>
      </c>
      <c r="H1080" s="76" t="s">
        <v>2418</v>
      </c>
      <c r="I1080" s="76" t="s">
        <v>636</v>
      </c>
      <c r="J1080" s="76"/>
      <c r="K1080" s="76"/>
      <c r="L1080" s="76"/>
      <c r="M1080" s="76"/>
      <c r="N1080" s="76"/>
    </row>
    <row r="1081" spans="2:14" hidden="1">
      <c r="B1081" s="76"/>
      <c r="C1081" s="76"/>
      <c r="D1081" s="76" t="s">
        <v>2414</v>
      </c>
      <c r="E1081" s="76" t="s">
        <v>2175</v>
      </c>
      <c r="F1081" s="76"/>
      <c r="G1081" s="76" t="s">
        <v>2506</v>
      </c>
      <c r="H1081" s="76" t="s">
        <v>2313</v>
      </c>
      <c r="I1081" s="76" t="s">
        <v>2506</v>
      </c>
      <c r="J1081" s="76"/>
      <c r="K1081" s="76"/>
      <c r="L1081" s="76"/>
      <c r="M1081" s="76"/>
      <c r="N1081" s="76"/>
    </row>
    <row r="1082" spans="2:14" hidden="1">
      <c r="B1082" s="76"/>
      <c r="C1082" s="76"/>
      <c r="D1082" s="76" t="s">
        <v>2265</v>
      </c>
      <c r="E1082" s="76" t="s">
        <v>2026</v>
      </c>
      <c r="F1082" s="76"/>
      <c r="G1082" s="76" t="s">
        <v>591</v>
      </c>
      <c r="H1082" s="76" t="s">
        <v>2313</v>
      </c>
      <c r="I1082" s="76" t="s">
        <v>2506</v>
      </c>
      <c r="J1082" s="76"/>
      <c r="K1082" s="76"/>
      <c r="L1082" s="76"/>
      <c r="M1082" s="76"/>
      <c r="N1082" s="76"/>
    </row>
    <row r="1083" spans="2:14" hidden="1">
      <c r="B1083" s="76"/>
      <c r="C1083" s="76"/>
      <c r="D1083" s="76" t="s">
        <v>2266</v>
      </c>
      <c r="E1083" s="76" t="s">
        <v>2027</v>
      </c>
      <c r="F1083" s="76"/>
      <c r="G1083" s="76" t="s">
        <v>592</v>
      </c>
      <c r="H1083" s="76" t="s">
        <v>2245</v>
      </c>
      <c r="I1083" s="76" t="s">
        <v>1805</v>
      </c>
      <c r="J1083" s="76"/>
      <c r="K1083" s="76"/>
      <c r="L1083" s="76"/>
      <c r="M1083" s="76"/>
      <c r="N1083" s="76"/>
    </row>
    <row r="1084" spans="2:14" hidden="1">
      <c r="B1084" s="76"/>
      <c r="C1084" s="76"/>
      <c r="D1084" s="76" t="s">
        <v>2395</v>
      </c>
      <c r="E1084" s="76" t="s">
        <v>2156</v>
      </c>
      <c r="F1084" s="76"/>
      <c r="G1084" s="76" t="s">
        <v>1805</v>
      </c>
      <c r="H1084" s="76" t="s">
        <v>2245</v>
      </c>
      <c r="I1084" s="76" t="s">
        <v>1805</v>
      </c>
      <c r="J1084" s="76"/>
      <c r="K1084" s="76"/>
      <c r="L1084" s="76"/>
      <c r="M1084" s="76"/>
      <c r="N1084" s="76"/>
    </row>
    <row r="1085" spans="2:14" hidden="1">
      <c r="B1085" s="76"/>
      <c r="C1085" s="76"/>
      <c r="D1085" s="76" t="s">
        <v>2288</v>
      </c>
      <c r="E1085" s="76" t="s">
        <v>2049</v>
      </c>
      <c r="F1085" s="76"/>
      <c r="G1085" s="76" t="s">
        <v>866</v>
      </c>
      <c r="H1085" s="76" t="s">
        <v>2241</v>
      </c>
      <c r="I1085" s="76" t="s">
        <v>593</v>
      </c>
      <c r="J1085" s="76"/>
      <c r="K1085" s="76"/>
      <c r="L1085" s="76"/>
      <c r="M1085" s="76"/>
      <c r="N1085" s="76"/>
    </row>
    <row r="1086" spans="2:14" hidden="1">
      <c r="B1086" s="76"/>
      <c r="C1086" s="76"/>
      <c r="D1086" s="76" t="s">
        <v>2267</v>
      </c>
      <c r="E1086" s="76" t="s">
        <v>2028</v>
      </c>
      <c r="F1086" s="76"/>
      <c r="G1086" s="76" t="s">
        <v>868</v>
      </c>
      <c r="H1086" s="76" t="s">
        <v>2426</v>
      </c>
      <c r="I1086" s="76" t="s">
        <v>2621</v>
      </c>
      <c r="J1086" s="76"/>
      <c r="K1086" s="76"/>
      <c r="L1086" s="76"/>
      <c r="M1086" s="76"/>
      <c r="N1086" s="76"/>
    </row>
    <row r="1087" spans="2:14" hidden="1">
      <c r="B1087" s="76"/>
      <c r="C1087" s="76"/>
      <c r="D1087" s="76" t="s">
        <v>2270</v>
      </c>
      <c r="E1087" s="76" t="s">
        <v>2031</v>
      </c>
      <c r="F1087" s="76"/>
      <c r="G1087" s="76" t="s">
        <v>865</v>
      </c>
      <c r="H1087" s="76" t="s">
        <v>2241</v>
      </c>
      <c r="I1087" s="76" t="s">
        <v>593</v>
      </c>
      <c r="J1087" s="76"/>
      <c r="K1087" s="76"/>
      <c r="L1087" s="76"/>
      <c r="M1087" s="76"/>
      <c r="N1087" s="76"/>
    </row>
    <row r="1088" spans="2:14" hidden="1">
      <c r="B1088" s="76"/>
      <c r="C1088" s="76"/>
      <c r="D1088" s="76" t="s">
        <v>2271</v>
      </c>
      <c r="E1088" s="76" t="s">
        <v>2032</v>
      </c>
      <c r="F1088" s="76"/>
      <c r="G1088" s="76" t="s">
        <v>2621</v>
      </c>
      <c r="H1088" s="76" t="s">
        <v>2426</v>
      </c>
      <c r="I1088" s="76" t="s">
        <v>2621</v>
      </c>
      <c r="J1088" s="76"/>
      <c r="K1088" s="76"/>
      <c r="L1088" s="76"/>
      <c r="M1088" s="76"/>
      <c r="N1088" s="76"/>
    </row>
    <row r="1089" spans="2:14" hidden="1">
      <c r="B1089" s="76"/>
      <c r="C1089" s="76"/>
      <c r="D1089" s="76" t="s">
        <v>2274</v>
      </c>
      <c r="E1089" s="76" t="s">
        <v>2035</v>
      </c>
      <c r="F1089" s="76"/>
      <c r="G1089" s="76" t="s">
        <v>593</v>
      </c>
      <c r="H1089" s="76" t="s">
        <v>2241</v>
      </c>
      <c r="I1089" s="76" t="s">
        <v>593</v>
      </c>
      <c r="J1089" s="76"/>
      <c r="K1089" s="76"/>
      <c r="L1089" s="76"/>
      <c r="M1089" s="76"/>
      <c r="N1089" s="76"/>
    </row>
    <row r="1090" spans="2:14" hidden="1">
      <c r="B1090" s="76"/>
      <c r="C1090" s="76"/>
      <c r="D1090" s="76" t="s">
        <v>2276</v>
      </c>
      <c r="E1090" s="76" t="s">
        <v>2037</v>
      </c>
      <c r="F1090" s="76"/>
      <c r="G1090" s="76" t="s">
        <v>867</v>
      </c>
      <c r="H1090" s="76" t="s">
        <v>2426</v>
      </c>
      <c r="I1090" s="76" t="s">
        <v>2621</v>
      </c>
      <c r="J1090" s="76"/>
      <c r="K1090" s="76"/>
      <c r="L1090" s="76"/>
      <c r="M1090" s="76"/>
      <c r="N1090" s="76"/>
    </row>
    <row r="1091" spans="2:14" hidden="1">
      <c r="B1091" s="76"/>
      <c r="C1091" s="76"/>
      <c r="D1091" s="76" t="s">
        <v>2273</v>
      </c>
      <c r="E1091" s="76" t="s">
        <v>2034</v>
      </c>
      <c r="F1091" s="76"/>
      <c r="G1091" s="76" t="s">
        <v>869</v>
      </c>
      <c r="H1091" s="76" t="s">
        <v>2426</v>
      </c>
      <c r="I1091" s="76" t="s">
        <v>2621</v>
      </c>
      <c r="J1091" s="76"/>
      <c r="K1091" s="76"/>
      <c r="L1091" s="76"/>
      <c r="M1091" s="76"/>
      <c r="N1091" s="76"/>
    </row>
    <row r="1092" spans="2:14" hidden="1">
      <c r="B1092" s="76"/>
      <c r="C1092" s="76"/>
      <c r="D1092" s="76" t="s">
        <v>2272</v>
      </c>
      <c r="E1092" s="76" t="s">
        <v>2033</v>
      </c>
      <c r="F1092" s="76"/>
      <c r="G1092" s="76" t="s">
        <v>2507</v>
      </c>
      <c r="H1092" s="76" t="s">
        <v>2384</v>
      </c>
      <c r="I1092" s="76" t="s">
        <v>2507</v>
      </c>
      <c r="J1092" s="76"/>
      <c r="K1092" s="76"/>
      <c r="L1092" s="76"/>
      <c r="M1092" s="76"/>
      <c r="N1092" s="76"/>
    </row>
    <row r="1093" spans="2:14" hidden="1">
      <c r="B1093" s="76"/>
      <c r="C1093" s="76"/>
      <c r="D1093" s="76" t="s">
        <v>2275</v>
      </c>
      <c r="E1093" s="76" t="s">
        <v>2036</v>
      </c>
      <c r="F1093" s="76"/>
      <c r="G1093" s="76" t="s">
        <v>2508</v>
      </c>
      <c r="H1093" s="76" t="s">
        <v>2384</v>
      </c>
      <c r="I1093" s="76" t="s">
        <v>2508</v>
      </c>
      <c r="J1093" s="76"/>
      <c r="K1093" s="76"/>
      <c r="L1093" s="76"/>
      <c r="M1093" s="76"/>
      <c r="N1093" s="76"/>
    </row>
    <row r="1094" spans="2:14" hidden="1">
      <c r="B1094" s="76"/>
      <c r="C1094" s="76"/>
      <c r="D1094" s="76" t="s">
        <v>2278</v>
      </c>
      <c r="E1094" s="76" t="s">
        <v>2039</v>
      </c>
      <c r="F1094" s="76"/>
      <c r="G1094" s="107" t="s">
        <v>595</v>
      </c>
      <c r="H1094" s="76" t="s">
        <v>2313</v>
      </c>
      <c r="I1094" s="76" t="s">
        <v>595</v>
      </c>
      <c r="J1094" s="76"/>
      <c r="K1094" s="76"/>
      <c r="L1094" s="76"/>
      <c r="M1094" s="76"/>
      <c r="N1094" s="76"/>
    </row>
    <row r="1095" spans="2:14" hidden="1">
      <c r="B1095" s="76"/>
      <c r="C1095" s="76"/>
      <c r="D1095" s="76" t="s">
        <v>2293</v>
      </c>
      <c r="E1095" s="76" t="s">
        <v>2054</v>
      </c>
      <c r="F1095" s="76"/>
      <c r="G1095" s="76" t="s">
        <v>870</v>
      </c>
      <c r="H1095" s="76" t="s">
        <v>2313</v>
      </c>
      <c r="I1095" s="76" t="s">
        <v>595</v>
      </c>
      <c r="J1095" s="76"/>
      <c r="K1095" s="76"/>
      <c r="L1095" s="76"/>
      <c r="M1095" s="76"/>
      <c r="N1095" s="76"/>
    </row>
    <row r="1096" spans="2:14" hidden="1">
      <c r="B1096" s="76"/>
      <c r="C1096" s="76"/>
      <c r="D1096" s="76" t="s">
        <v>2380</v>
      </c>
      <c r="E1096" s="76" t="s">
        <v>2141</v>
      </c>
      <c r="F1096" s="76"/>
      <c r="G1096" s="76" t="s">
        <v>2509</v>
      </c>
      <c r="H1096" s="76" t="s">
        <v>2314</v>
      </c>
      <c r="I1096" s="76" t="s">
        <v>2509</v>
      </c>
      <c r="J1096" s="76"/>
      <c r="K1096" s="76"/>
      <c r="L1096" s="76"/>
      <c r="M1096" s="76"/>
      <c r="N1096" s="76"/>
    </row>
    <row r="1097" spans="2:14" hidden="1">
      <c r="B1097" s="76"/>
      <c r="C1097" s="76"/>
      <c r="D1097" s="76" t="s">
        <v>2216</v>
      </c>
      <c r="E1097" s="76" t="s">
        <v>1977</v>
      </c>
      <c r="F1097" s="76"/>
      <c r="G1097" s="76" t="s">
        <v>45</v>
      </c>
      <c r="H1097" s="76" t="s">
        <v>2313</v>
      </c>
      <c r="I1097" s="76" t="s">
        <v>45</v>
      </c>
      <c r="J1097" s="76"/>
      <c r="K1097" s="76"/>
      <c r="L1097" s="76"/>
      <c r="M1097" s="76"/>
      <c r="N1097" s="76"/>
    </row>
    <row r="1098" spans="2:14" hidden="1">
      <c r="B1098" s="76"/>
      <c r="C1098" s="76"/>
      <c r="D1098" s="76" t="s">
        <v>2279</v>
      </c>
      <c r="E1098" s="76" t="s">
        <v>2040</v>
      </c>
      <c r="F1098" s="76"/>
      <c r="G1098" s="76" t="s">
        <v>1806</v>
      </c>
      <c r="H1098" s="76" t="s">
        <v>2316</v>
      </c>
      <c r="I1098" s="76" t="s">
        <v>1806</v>
      </c>
      <c r="J1098" s="76"/>
      <c r="K1098" s="76"/>
      <c r="L1098" s="76"/>
      <c r="M1098" s="76"/>
      <c r="N1098" s="76"/>
    </row>
    <row r="1099" spans="2:14" hidden="1">
      <c r="B1099" s="76"/>
      <c r="C1099" s="76"/>
      <c r="D1099" s="76" t="s">
        <v>2286</v>
      </c>
      <c r="E1099" s="76" t="s">
        <v>2047</v>
      </c>
      <c r="F1099" s="76"/>
      <c r="G1099" s="76" t="s">
        <v>596</v>
      </c>
      <c r="H1099" s="76" t="s">
        <v>2386</v>
      </c>
      <c r="I1099" s="76" t="s">
        <v>2510</v>
      </c>
      <c r="J1099" s="76"/>
      <c r="K1099" s="76"/>
      <c r="L1099" s="76"/>
      <c r="M1099" s="76"/>
      <c r="N1099" s="76"/>
    </row>
    <row r="1100" spans="2:14" hidden="1">
      <c r="B1100" s="76"/>
      <c r="C1100" s="76"/>
      <c r="D1100" s="76" t="s">
        <v>2281</v>
      </c>
      <c r="E1100" s="76" t="s">
        <v>2042</v>
      </c>
      <c r="F1100" s="76"/>
      <c r="G1100" s="76" t="s">
        <v>2510</v>
      </c>
      <c r="H1100" s="76" t="s">
        <v>2386</v>
      </c>
      <c r="I1100" s="76" t="s">
        <v>2510</v>
      </c>
      <c r="J1100" s="76"/>
      <c r="K1100" s="76"/>
      <c r="L1100" s="76"/>
      <c r="M1100" s="76"/>
      <c r="N1100" s="76"/>
    </row>
    <row r="1101" spans="2:14" hidden="1">
      <c r="B1101" s="76"/>
      <c r="C1101" s="76"/>
      <c r="D1101" s="76" t="s">
        <v>2259</v>
      </c>
      <c r="E1101" s="76" t="s">
        <v>2020</v>
      </c>
      <c r="F1101" s="76"/>
      <c r="G1101" s="76" t="s">
        <v>2511</v>
      </c>
      <c r="H1101" s="76" t="s">
        <v>2320</v>
      </c>
      <c r="I1101" s="76" t="s">
        <v>597</v>
      </c>
      <c r="J1101" s="76"/>
      <c r="K1101" s="76"/>
      <c r="L1101" s="76"/>
      <c r="M1101" s="76"/>
      <c r="N1101" s="76"/>
    </row>
    <row r="1102" spans="2:14" hidden="1">
      <c r="B1102" s="76"/>
      <c r="C1102" s="76"/>
      <c r="D1102" s="76" t="s">
        <v>2282</v>
      </c>
      <c r="E1102" s="76" t="s">
        <v>2043</v>
      </c>
      <c r="F1102" s="76"/>
      <c r="G1102" s="76" t="s">
        <v>597</v>
      </c>
      <c r="H1102" s="76" t="s">
        <v>2320</v>
      </c>
      <c r="I1102" s="76" t="s">
        <v>597</v>
      </c>
      <c r="J1102" s="76"/>
      <c r="K1102" s="76"/>
      <c r="L1102" s="76"/>
      <c r="M1102" s="76"/>
      <c r="N1102" s="76"/>
    </row>
    <row r="1103" spans="2:14" hidden="1">
      <c r="B1103" s="76"/>
      <c r="C1103" s="76"/>
      <c r="D1103" s="76" t="s">
        <v>2283</v>
      </c>
      <c r="E1103" s="76" t="s">
        <v>2044</v>
      </c>
      <c r="F1103" s="76"/>
      <c r="G1103" s="76" t="s">
        <v>2512</v>
      </c>
      <c r="H1103" s="76" t="s">
        <v>2426</v>
      </c>
      <c r="I1103" s="76" t="s">
        <v>2512</v>
      </c>
      <c r="J1103" s="76"/>
      <c r="K1103" s="76"/>
      <c r="L1103" s="76"/>
      <c r="M1103" s="76"/>
      <c r="N1103" s="76"/>
    </row>
    <row r="1104" spans="2:14" hidden="1">
      <c r="B1104" s="76"/>
      <c r="C1104" s="76"/>
      <c r="D1104" s="76" t="s">
        <v>2289</v>
      </c>
      <c r="E1104" s="76" t="s">
        <v>2050</v>
      </c>
      <c r="F1104" s="76"/>
      <c r="G1104" s="76" t="s">
        <v>598</v>
      </c>
      <c r="H1104" s="76" t="s">
        <v>2426</v>
      </c>
      <c r="I1104" s="76" t="s">
        <v>2512</v>
      </c>
      <c r="J1104" s="76"/>
      <c r="K1104" s="76"/>
      <c r="L1104" s="76"/>
      <c r="M1104" s="76"/>
      <c r="N1104" s="76"/>
    </row>
    <row r="1105" spans="2:14" hidden="1">
      <c r="B1105" s="76"/>
      <c r="C1105" s="76"/>
      <c r="D1105" s="76" t="s">
        <v>2291</v>
      </c>
      <c r="E1105" s="76" t="s">
        <v>2052</v>
      </c>
      <c r="F1105" s="76"/>
      <c r="G1105" s="76" t="s">
        <v>599</v>
      </c>
      <c r="H1105" s="76" t="s">
        <v>2313</v>
      </c>
      <c r="I1105" s="76" t="s">
        <v>599</v>
      </c>
      <c r="J1105" s="76"/>
      <c r="K1105" s="76"/>
      <c r="L1105" s="76"/>
      <c r="M1105" s="76"/>
      <c r="N1105" s="76"/>
    </row>
    <row r="1106" spans="2:14" hidden="1">
      <c r="B1106" s="76"/>
      <c r="C1106" s="76"/>
      <c r="D1106" s="76" t="s">
        <v>2290</v>
      </c>
      <c r="E1106" s="76" t="s">
        <v>2051</v>
      </c>
      <c r="F1106" s="76"/>
      <c r="G1106" s="76" t="s">
        <v>872</v>
      </c>
      <c r="H1106" s="76" t="s">
        <v>2296</v>
      </c>
      <c r="I1106" s="76" t="s">
        <v>601</v>
      </c>
      <c r="J1106" s="76"/>
      <c r="K1106" s="76"/>
      <c r="L1106" s="76"/>
      <c r="M1106" s="76"/>
      <c r="N1106" s="76"/>
    </row>
    <row r="1107" spans="2:14" hidden="1">
      <c r="B1107" s="76"/>
      <c r="C1107" s="76"/>
      <c r="D1107" s="76" t="s">
        <v>2285</v>
      </c>
      <c r="E1107" s="76" t="s">
        <v>2046</v>
      </c>
      <c r="F1107" s="76"/>
      <c r="G1107" s="76" t="s">
        <v>787</v>
      </c>
      <c r="H1107" s="76" t="s">
        <v>2243</v>
      </c>
      <c r="I1107" s="76" t="s">
        <v>600</v>
      </c>
      <c r="J1107" s="76"/>
      <c r="K1107" s="76"/>
      <c r="L1107" s="76"/>
      <c r="M1107" s="76"/>
      <c r="N1107" s="76"/>
    </row>
    <row r="1108" spans="2:14" hidden="1">
      <c r="B1108" s="76"/>
      <c r="C1108" s="76"/>
      <c r="D1108" s="76" t="s">
        <v>2294</v>
      </c>
      <c r="E1108" s="76" t="s">
        <v>2055</v>
      </c>
      <c r="F1108" s="76"/>
      <c r="G1108" s="76" t="s">
        <v>601</v>
      </c>
      <c r="H1108" s="76" t="s">
        <v>2296</v>
      </c>
      <c r="I1108" s="76" t="s">
        <v>601</v>
      </c>
      <c r="J1108" s="76"/>
      <c r="K1108" s="76"/>
      <c r="L1108" s="76"/>
      <c r="M1108" s="76"/>
      <c r="N1108" s="76"/>
    </row>
    <row r="1109" spans="2:14" hidden="1">
      <c r="B1109" s="76"/>
      <c r="C1109" s="76"/>
      <c r="D1109" s="76" t="s">
        <v>2292</v>
      </c>
      <c r="E1109" s="76" t="s">
        <v>2053</v>
      </c>
      <c r="F1109" s="76"/>
      <c r="G1109" s="76" t="s">
        <v>600</v>
      </c>
      <c r="H1109" s="76" t="s">
        <v>2243</v>
      </c>
      <c r="I1109" s="76" t="s">
        <v>600</v>
      </c>
      <c r="J1109" s="76"/>
      <c r="K1109" s="76"/>
      <c r="L1109" s="76"/>
      <c r="M1109" s="76"/>
      <c r="N1109" s="76"/>
    </row>
    <row r="1110" spans="2:14" hidden="1">
      <c r="B1110" s="76"/>
      <c r="C1110" s="76"/>
      <c r="D1110" s="76" t="s">
        <v>2284</v>
      </c>
      <c r="E1110" s="76" t="s">
        <v>2045</v>
      </c>
      <c r="F1110" s="76"/>
      <c r="G1110" s="76" t="s">
        <v>602</v>
      </c>
      <c r="H1110" s="76" t="s">
        <v>2426</v>
      </c>
      <c r="I1110" s="76" t="s">
        <v>602</v>
      </c>
      <c r="J1110" s="76"/>
      <c r="K1110" s="76"/>
      <c r="L1110" s="76"/>
      <c r="M1110" s="76"/>
      <c r="N1110" s="76"/>
    </row>
    <row r="1111" spans="2:14" hidden="1">
      <c r="B1111" s="76"/>
      <c r="C1111" s="76"/>
      <c r="D1111" s="76" t="s">
        <v>2287</v>
      </c>
      <c r="E1111" s="76" t="s">
        <v>2048</v>
      </c>
      <c r="F1111" s="76"/>
      <c r="G1111" s="76" t="s">
        <v>603</v>
      </c>
      <c r="H1111" s="76" t="s">
        <v>2339</v>
      </c>
      <c r="I1111" s="76" t="s">
        <v>603</v>
      </c>
      <c r="J1111" s="76"/>
      <c r="K1111" s="76"/>
      <c r="L1111" s="76"/>
      <c r="M1111" s="76"/>
      <c r="N1111" s="76"/>
    </row>
    <row r="1112" spans="2:14" hidden="1">
      <c r="B1112" s="76"/>
      <c r="C1112" s="76"/>
      <c r="D1112" s="76" t="s">
        <v>2295</v>
      </c>
      <c r="E1112" s="76" t="s">
        <v>2056</v>
      </c>
      <c r="F1112" s="76"/>
      <c r="G1112" s="76" t="s">
        <v>39</v>
      </c>
      <c r="H1112" s="76" t="s">
        <v>2313</v>
      </c>
      <c r="I1112" s="76" t="s">
        <v>39</v>
      </c>
      <c r="J1112" s="76"/>
      <c r="K1112" s="76"/>
      <c r="L1112" s="76"/>
      <c r="M1112" s="76"/>
      <c r="N1112" s="76"/>
    </row>
    <row r="1113" spans="2:14" hidden="1">
      <c r="B1113" s="76"/>
      <c r="C1113" s="76"/>
      <c r="D1113" s="76" t="s">
        <v>2300</v>
      </c>
      <c r="E1113" s="76" t="s">
        <v>2061</v>
      </c>
      <c r="F1113" s="76"/>
      <c r="G1113" s="76" t="s">
        <v>1812</v>
      </c>
      <c r="H1113" s="76" t="s">
        <v>2313</v>
      </c>
      <c r="I1113" s="76" t="s">
        <v>604</v>
      </c>
      <c r="J1113" s="76"/>
      <c r="K1113" s="76"/>
      <c r="L1113" s="76"/>
      <c r="M1113" s="76"/>
      <c r="N1113" s="76"/>
    </row>
    <row r="1114" spans="2:14" hidden="1">
      <c r="B1114" s="76"/>
      <c r="C1114" s="76"/>
      <c r="D1114" s="76" t="s">
        <v>2297</v>
      </c>
      <c r="E1114" s="76" t="s">
        <v>2058</v>
      </c>
      <c r="F1114" s="76"/>
      <c r="G1114" s="76" t="s">
        <v>604</v>
      </c>
      <c r="H1114" s="76" t="s">
        <v>2313</v>
      </c>
      <c r="I1114" s="76" t="s">
        <v>604</v>
      </c>
      <c r="J1114" s="76"/>
      <c r="K1114" s="76"/>
      <c r="L1114" s="76"/>
      <c r="M1114" s="76"/>
      <c r="N1114" s="76"/>
    </row>
    <row r="1115" spans="2:14" hidden="1">
      <c r="B1115" s="76"/>
      <c r="C1115" s="76"/>
      <c r="D1115" s="76" t="s">
        <v>2298</v>
      </c>
      <c r="E1115" s="76" t="s">
        <v>2059</v>
      </c>
      <c r="F1115" s="76"/>
      <c r="G1115" s="76" t="s">
        <v>2513</v>
      </c>
      <c r="H1115" s="76" t="s">
        <v>2384</v>
      </c>
      <c r="I1115" s="76" t="s">
        <v>2513</v>
      </c>
      <c r="J1115" s="76"/>
      <c r="K1115" s="76"/>
      <c r="L1115" s="76"/>
      <c r="M1115" s="76"/>
      <c r="N1115" s="76"/>
    </row>
    <row r="1116" spans="2:14" hidden="1">
      <c r="B1116" s="76"/>
      <c r="C1116" s="76"/>
      <c r="D1116" s="76" t="s">
        <v>2296</v>
      </c>
      <c r="E1116" s="76" t="s">
        <v>2057</v>
      </c>
      <c r="F1116" s="76"/>
      <c r="G1116" s="76" t="s">
        <v>637</v>
      </c>
      <c r="H1116" s="76" t="s">
        <v>2418</v>
      </c>
      <c r="I1116" s="76" t="s">
        <v>637</v>
      </c>
      <c r="J1116" s="76"/>
      <c r="K1116" s="76"/>
      <c r="L1116" s="76"/>
      <c r="M1116" s="76"/>
      <c r="N1116" s="76"/>
    </row>
    <row r="1117" spans="2:14" hidden="1">
      <c r="B1117" s="76"/>
      <c r="C1117" s="76"/>
      <c r="D1117" s="76" t="s">
        <v>2301</v>
      </c>
      <c r="E1117" s="76" t="s">
        <v>2062</v>
      </c>
      <c r="F1117" s="76"/>
      <c r="G1117" s="76" t="s">
        <v>2514</v>
      </c>
      <c r="H1117" s="76" t="s">
        <v>2427</v>
      </c>
      <c r="I1117" s="76" t="s">
        <v>605</v>
      </c>
      <c r="J1117" s="76"/>
      <c r="K1117" s="76"/>
      <c r="L1117" s="76"/>
      <c r="M1117" s="76"/>
      <c r="N1117" s="76"/>
    </row>
    <row r="1118" spans="2:14" hidden="1">
      <c r="B1118" s="76"/>
      <c r="C1118" s="76"/>
      <c r="D1118" s="76" t="s">
        <v>2308</v>
      </c>
      <c r="E1118" s="76" t="s">
        <v>2069</v>
      </c>
      <c r="F1118" s="76"/>
      <c r="G1118" s="76" t="s">
        <v>605</v>
      </c>
      <c r="H1118" s="76" t="s">
        <v>2427</v>
      </c>
      <c r="I1118" s="76" t="s">
        <v>605</v>
      </c>
      <c r="J1118" s="76"/>
      <c r="K1118" s="76"/>
      <c r="L1118" s="76"/>
      <c r="M1118" s="76"/>
      <c r="N1118" s="76"/>
    </row>
    <row r="1119" spans="2:14" hidden="1">
      <c r="B1119" s="76"/>
      <c r="C1119" s="76"/>
      <c r="D1119" s="76" t="s">
        <v>2303</v>
      </c>
      <c r="E1119" s="76" t="s">
        <v>2064</v>
      </c>
      <c r="F1119" s="76"/>
      <c r="G1119" s="76" t="s">
        <v>42</v>
      </c>
      <c r="H1119" s="76" t="s">
        <v>2313</v>
      </c>
      <c r="I1119" s="76" t="s">
        <v>42</v>
      </c>
      <c r="J1119" s="76"/>
      <c r="K1119" s="76"/>
      <c r="L1119" s="76"/>
      <c r="M1119" s="76"/>
      <c r="N1119" s="76"/>
    </row>
    <row r="1120" spans="2:14" hidden="1">
      <c r="B1120" s="76"/>
      <c r="C1120" s="76"/>
      <c r="D1120" s="76" t="s">
        <v>2302</v>
      </c>
      <c r="E1120" s="76" t="s">
        <v>2063</v>
      </c>
      <c r="F1120" s="76"/>
      <c r="G1120" s="76" t="s">
        <v>871</v>
      </c>
      <c r="H1120" s="76" t="s">
        <v>2313</v>
      </c>
      <c r="I1120" s="76" t="s">
        <v>595</v>
      </c>
      <c r="J1120" s="76"/>
      <c r="K1120" s="76"/>
      <c r="L1120" s="76"/>
      <c r="M1120" s="76"/>
      <c r="N1120" s="76"/>
    </row>
    <row r="1121" spans="2:14" hidden="1">
      <c r="B1121" s="76"/>
      <c r="C1121" s="76"/>
      <c r="D1121" s="76" t="s">
        <v>2306</v>
      </c>
      <c r="E1121" s="76" t="s">
        <v>2067</v>
      </c>
      <c r="F1121" s="76"/>
      <c r="G1121" s="76" t="s">
        <v>873</v>
      </c>
      <c r="H1121" s="76" t="s">
        <v>2427</v>
      </c>
      <c r="I1121" s="76" t="s">
        <v>605</v>
      </c>
      <c r="J1121" s="76"/>
      <c r="K1121" s="76"/>
      <c r="L1121" s="76"/>
      <c r="M1121" s="76"/>
      <c r="N1121" s="76"/>
    </row>
    <row r="1122" spans="2:14" hidden="1">
      <c r="B1122" s="76"/>
      <c r="C1122" s="76"/>
      <c r="D1122" s="76" t="s">
        <v>2307</v>
      </c>
      <c r="E1122" s="76" t="s">
        <v>2068</v>
      </c>
      <c r="F1122" s="76"/>
      <c r="G1122" s="76" t="s">
        <v>851</v>
      </c>
      <c r="H1122" s="76" t="s">
        <v>2259</v>
      </c>
      <c r="I1122" s="76" t="s">
        <v>579</v>
      </c>
      <c r="J1122" s="76"/>
      <c r="K1122" s="76"/>
      <c r="L1122" s="76"/>
      <c r="M1122" s="76"/>
      <c r="N1122" s="76"/>
    </row>
    <row r="1123" spans="2:14" hidden="1">
      <c r="B1123" s="76"/>
      <c r="C1123" s="76"/>
      <c r="D1123" s="76" t="s">
        <v>2305</v>
      </c>
      <c r="E1123" s="76" t="s">
        <v>2066</v>
      </c>
      <c r="F1123" s="76"/>
      <c r="G1123" s="76" t="s">
        <v>2477</v>
      </c>
      <c r="H1123" s="76" t="s">
        <v>2384</v>
      </c>
      <c r="I1123" s="76" t="s">
        <v>2505</v>
      </c>
      <c r="J1123" s="76"/>
      <c r="K1123" s="76"/>
      <c r="L1123" s="76"/>
      <c r="M1123" s="76"/>
      <c r="N1123" s="76"/>
    </row>
    <row r="1124" spans="2:14" hidden="1">
      <c r="B1124" s="76"/>
      <c r="C1124" s="76"/>
      <c r="D1124" s="76" t="s">
        <v>2309</v>
      </c>
      <c r="E1124" s="76" t="s">
        <v>2070</v>
      </c>
      <c r="F1124" s="76"/>
      <c r="G1124" s="76" t="s">
        <v>451</v>
      </c>
      <c r="H1124" s="76" t="s">
        <v>2426</v>
      </c>
      <c r="I1124" s="76" t="s">
        <v>2515</v>
      </c>
      <c r="J1124" s="76"/>
      <c r="K1124" s="76"/>
      <c r="L1124" s="76"/>
      <c r="M1124" s="76"/>
      <c r="N1124" s="76"/>
    </row>
    <row r="1125" spans="2:14" hidden="1">
      <c r="B1125" s="76"/>
      <c r="C1125" s="76"/>
      <c r="D1125" s="76" t="s">
        <v>2310</v>
      </c>
      <c r="E1125" s="76" t="s">
        <v>2071</v>
      </c>
      <c r="F1125" s="76"/>
      <c r="G1125" s="76" t="s">
        <v>606</v>
      </c>
      <c r="H1125" s="76" t="s">
        <v>2384</v>
      </c>
      <c r="I1125" s="76" t="s">
        <v>606</v>
      </c>
      <c r="J1125" s="76"/>
      <c r="K1125" s="76"/>
      <c r="L1125" s="76"/>
      <c r="M1125" s="76"/>
      <c r="N1125" s="76"/>
    </row>
    <row r="1126" spans="2:14" hidden="1">
      <c r="B1126" s="76"/>
      <c r="C1126" s="76"/>
      <c r="D1126" s="76" t="s">
        <v>2311</v>
      </c>
      <c r="E1126" s="76" t="s">
        <v>2072</v>
      </c>
      <c r="F1126" s="76"/>
      <c r="G1126" s="76" t="s">
        <v>633</v>
      </c>
      <c r="H1126" s="76" t="s">
        <v>2384</v>
      </c>
      <c r="I1126" s="76" t="s">
        <v>633</v>
      </c>
      <c r="J1126" s="76"/>
      <c r="K1126" s="76"/>
      <c r="L1126" s="76"/>
      <c r="M1126" s="76"/>
      <c r="N1126" s="76"/>
    </row>
    <row r="1127" spans="2:14" hidden="1">
      <c r="B1127" s="76"/>
      <c r="C1127" s="76"/>
      <c r="D1127" s="76" t="s">
        <v>2313</v>
      </c>
      <c r="E1127" s="76" t="s">
        <v>2074</v>
      </c>
      <c r="F1127" s="76"/>
      <c r="G1127" s="76" t="s">
        <v>2516</v>
      </c>
      <c r="H1127" s="76" t="s">
        <v>2243</v>
      </c>
      <c r="I1127" s="76" t="s">
        <v>2516</v>
      </c>
      <c r="J1127" s="76"/>
      <c r="K1127" s="76"/>
      <c r="L1127" s="76"/>
      <c r="M1127" s="76"/>
      <c r="N1127" s="76"/>
    </row>
    <row r="1128" spans="2:14" hidden="1">
      <c r="B1128" s="76"/>
      <c r="C1128" s="76"/>
      <c r="D1128" s="76" t="s">
        <v>2312</v>
      </c>
      <c r="E1128" s="76" t="s">
        <v>2073</v>
      </c>
      <c r="F1128" s="76"/>
      <c r="G1128" s="76" t="s">
        <v>607</v>
      </c>
      <c r="H1128" s="76" t="s">
        <v>2243</v>
      </c>
      <c r="I1128" s="76" t="s">
        <v>2516</v>
      </c>
      <c r="J1128" s="76"/>
      <c r="K1128" s="76"/>
      <c r="L1128" s="76"/>
      <c r="M1128" s="76"/>
      <c r="N1128" s="76"/>
    </row>
    <row r="1129" spans="2:14" hidden="1">
      <c r="B1129" s="76"/>
      <c r="C1129" s="76"/>
      <c r="D1129" s="76" t="s">
        <v>2314</v>
      </c>
      <c r="E1129" s="76" t="s">
        <v>2075</v>
      </c>
      <c r="F1129" s="76"/>
      <c r="G1129" s="76" t="s">
        <v>2517</v>
      </c>
      <c r="H1129" s="76" t="s">
        <v>2218</v>
      </c>
      <c r="I1129" s="76" t="s">
        <v>1265</v>
      </c>
      <c r="J1129" s="76"/>
      <c r="K1129" s="76"/>
      <c r="L1129" s="76"/>
      <c r="M1129" s="76"/>
      <c r="N1129" s="76"/>
    </row>
    <row r="1130" spans="2:14" hidden="1">
      <c r="B1130" s="76"/>
      <c r="C1130" s="76"/>
      <c r="D1130" s="76" t="s">
        <v>2315</v>
      </c>
      <c r="E1130" s="76" t="s">
        <v>2076</v>
      </c>
      <c r="F1130" s="76"/>
      <c r="G1130" s="76" t="s">
        <v>609</v>
      </c>
      <c r="H1130" s="76" t="s">
        <v>2384</v>
      </c>
      <c r="I1130" s="76" t="s">
        <v>2518</v>
      </c>
      <c r="J1130" s="76"/>
      <c r="K1130" s="76"/>
      <c r="L1130" s="76"/>
      <c r="M1130" s="76"/>
      <c r="N1130" s="76"/>
    </row>
    <row r="1131" spans="2:14" hidden="1">
      <c r="B1131" s="76"/>
      <c r="C1131" s="76"/>
      <c r="D1131" s="76" t="s">
        <v>2318</v>
      </c>
      <c r="E1131" s="76" t="s">
        <v>2079</v>
      </c>
      <c r="F1131" s="76"/>
      <c r="G1131" s="76" t="s">
        <v>2518</v>
      </c>
      <c r="H1131" s="76" t="s">
        <v>2384</v>
      </c>
      <c r="I1131" s="76" t="s">
        <v>2518</v>
      </c>
      <c r="J1131" s="76"/>
      <c r="K1131" s="76"/>
      <c r="L1131" s="76"/>
      <c r="M1131" s="76"/>
      <c r="N1131" s="76"/>
    </row>
    <row r="1132" spans="2:14" hidden="1">
      <c r="B1132" s="76"/>
      <c r="C1132" s="76"/>
      <c r="D1132" s="76" t="s">
        <v>2377</v>
      </c>
      <c r="E1132" s="76" t="s">
        <v>2138</v>
      </c>
      <c r="F1132" s="76"/>
      <c r="G1132" s="76" t="s">
        <v>610</v>
      </c>
      <c r="H1132" s="76" t="s">
        <v>2302</v>
      </c>
      <c r="I1132" s="76" t="s">
        <v>610</v>
      </c>
      <c r="J1132" s="76"/>
      <c r="K1132" s="76"/>
      <c r="L1132" s="76"/>
      <c r="M1132" s="76"/>
      <c r="N1132" s="76"/>
    </row>
    <row r="1133" spans="2:14" hidden="1">
      <c r="B1133" s="76"/>
      <c r="C1133" s="76"/>
      <c r="D1133" s="76" t="s">
        <v>2320</v>
      </c>
      <c r="E1133" s="76" t="s">
        <v>2081</v>
      </c>
      <c r="F1133" s="76"/>
      <c r="G1133" s="76" t="s">
        <v>635</v>
      </c>
      <c r="H1133" s="76" t="s">
        <v>2243</v>
      </c>
      <c r="I1133" s="76" t="s">
        <v>634</v>
      </c>
      <c r="J1133" s="76"/>
      <c r="K1133" s="76"/>
      <c r="L1133" s="76"/>
      <c r="M1133" s="76"/>
      <c r="N1133" s="76"/>
    </row>
    <row r="1134" spans="2:14" hidden="1">
      <c r="B1134" s="76"/>
      <c r="C1134" s="76"/>
      <c r="D1134" s="76" t="s">
        <v>2321</v>
      </c>
      <c r="E1134" s="76" t="s">
        <v>2082</v>
      </c>
      <c r="F1134" s="76"/>
      <c r="G1134" s="76" t="s">
        <v>634</v>
      </c>
      <c r="H1134" s="76" t="s">
        <v>2243</v>
      </c>
      <c r="I1134" s="76" t="s">
        <v>634</v>
      </c>
      <c r="J1134" s="76"/>
      <c r="K1134" s="76"/>
      <c r="L1134" s="76"/>
      <c r="M1134" s="76"/>
      <c r="N1134" s="76"/>
    </row>
    <row r="1135" spans="2:14" hidden="1">
      <c r="B1135" s="76"/>
      <c r="C1135" s="76"/>
      <c r="D1135" s="76" t="s">
        <v>2316</v>
      </c>
      <c r="E1135" s="76" t="s">
        <v>2077</v>
      </c>
      <c r="F1135" s="76"/>
      <c r="G1135" s="76" t="s">
        <v>588</v>
      </c>
      <c r="H1135" s="76" t="s">
        <v>2245</v>
      </c>
      <c r="I1135" s="76" t="s">
        <v>2627</v>
      </c>
      <c r="J1135" s="76"/>
      <c r="K1135" s="76"/>
      <c r="L1135" s="76"/>
      <c r="M1135" s="76"/>
      <c r="N1135" s="76"/>
    </row>
    <row r="1136" spans="2:14" hidden="1">
      <c r="B1136" s="76"/>
      <c r="C1136" s="76"/>
      <c r="D1136" s="76" t="s">
        <v>2322</v>
      </c>
      <c r="E1136" s="76" t="s">
        <v>2083</v>
      </c>
      <c r="F1136" s="76"/>
      <c r="G1136" s="76" t="s">
        <v>876</v>
      </c>
      <c r="H1136" s="76" t="s">
        <v>2439</v>
      </c>
      <c r="I1136" s="76" t="s">
        <v>611</v>
      </c>
      <c r="J1136" s="76"/>
      <c r="K1136" s="76"/>
      <c r="L1136" s="76"/>
      <c r="M1136" s="76"/>
      <c r="N1136" s="76"/>
    </row>
    <row r="1137" spans="2:14" hidden="1">
      <c r="B1137" s="76"/>
      <c r="C1137" s="76"/>
      <c r="D1137" s="76" t="s">
        <v>2332</v>
      </c>
      <c r="E1137" s="76" t="s">
        <v>2093</v>
      </c>
      <c r="F1137" s="76"/>
      <c r="G1137" s="76" t="s">
        <v>611</v>
      </c>
      <c r="H1137" s="76" t="s">
        <v>2439</v>
      </c>
      <c r="I1137" s="76" t="s">
        <v>611</v>
      </c>
      <c r="J1137" s="76"/>
      <c r="K1137" s="76"/>
      <c r="L1137" s="76"/>
      <c r="M1137" s="76"/>
      <c r="N1137" s="76"/>
    </row>
    <row r="1138" spans="2:14" hidden="1">
      <c r="B1138" s="76"/>
      <c r="C1138" s="76"/>
      <c r="D1138" s="76" t="s">
        <v>2323</v>
      </c>
      <c r="E1138" s="76" t="s">
        <v>2084</v>
      </c>
      <c r="F1138" s="76"/>
      <c r="G1138" s="76" t="s">
        <v>2519</v>
      </c>
      <c r="H1138" s="76" t="s">
        <v>2439</v>
      </c>
      <c r="I1138" s="76" t="s">
        <v>611</v>
      </c>
      <c r="J1138" s="76"/>
      <c r="K1138" s="76"/>
      <c r="L1138" s="76"/>
      <c r="M1138" s="76"/>
      <c r="N1138" s="76"/>
    </row>
    <row r="1139" spans="2:14" hidden="1">
      <c r="B1139" s="76"/>
      <c r="C1139" s="76"/>
      <c r="D1139" s="76" t="s">
        <v>2329</v>
      </c>
      <c r="E1139" s="76" t="s">
        <v>2090</v>
      </c>
      <c r="F1139" s="76"/>
      <c r="G1139" s="76" t="s">
        <v>2520</v>
      </c>
      <c r="H1139" s="76" t="s">
        <v>2241</v>
      </c>
      <c r="I1139" s="76" t="s">
        <v>2520</v>
      </c>
      <c r="J1139" s="76"/>
      <c r="K1139" s="76"/>
      <c r="L1139" s="76"/>
      <c r="M1139" s="76"/>
      <c r="N1139" s="76"/>
    </row>
    <row r="1140" spans="2:14" hidden="1">
      <c r="B1140" s="76"/>
      <c r="C1140" s="76"/>
      <c r="D1140" s="76" t="s">
        <v>2324</v>
      </c>
      <c r="E1140" s="76" t="s">
        <v>2085</v>
      </c>
      <c r="F1140" s="76"/>
      <c r="G1140" s="76" t="s">
        <v>46</v>
      </c>
      <c r="H1140" s="76" t="s">
        <v>2426</v>
      </c>
      <c r="I1140" s="76" t="s">
        <v>46</v>
      </c>
      <c r="J1140" s="76"/>
      <c r="K1140" s="76"/>
      <c r="L1140" s="76"/>
      <c r="M1140" s="76"/>
      <c r="N1140" s="76"/>
    </row>
    <row r="1141" spans="2:14" hidden="1">
      <c r="B1141" s="76"/>
      <c r="C1141" s="76"/>
      <c r="D1141" s="76" t="s">
        <v>2325</v>
      </c>
      <c r="E1141" s="76" t="s">
        <v>2086</v>
      </c>
      <c r="F1141" s="76"/>
      <c r="G1141" s="76" t="s">
        <v>450</v>
      </c>
      <c r="H1141" s="76" t="s">
        <v>2313</v>
      </c>
      <c r="I1141" s="76" t="s">
        <v>595</v>
      </c>
      <c r="J1141" s="76"/>
      <c r="K1141" s="76"/>
      <c r="L1141" s="76"/>
      <c r="M1141" s="76"/>
      <c r="N1141" s="76"/>
    </row>
    <row r="1142" spans="2:14" hidden="1">
      <c r="B1142" s="76"/>
      <c r="C1142" s="76"/>
      <c r="D1142" s="76" t="s">
        <v>2327</v>
      </c>
      <c r="E1142" s="76" t="s">
        <v>2088</v>
      </c>
      <c r="F1142" s="76"/>
      <c r="G1142" s="76" t="s">
        <v>2521</v>
      </c>
      <c r="H1142" s="76" t="s">
        <v>2362</v>
      </c>
      <c r="I1142" s="76" t="s">
        <v>2521</v>
      </c>
      <c r="J1142" s="76"/>
      <c r="K1142" s="76"/>
      <c r="L1142" s="76"/>
      <c r="M1142" s="76"/>
      <c r="N1142" s="76"/>
    </row>
    <row r="1143" spans="2:14" hidden="1">
      <c r="B1143" s="76"/>
      <c r="C1143" s="76"/>
      <c r="D1143" s="76" t="s">
        <v>2330</v>
      </c>
      <c r="E1143" s="76" t="s">
        <v>2091</v>
      </c>
      <c r="F1143" s="76"/>
      <c r="G1143" s="76" t="s">
        <v>2522</v>
      </c>
      <c r="H1143" s="76" t="s">
        <v>2269</v>
      </c>
      <c r="I1143" s="76" t="s">
        <v>2522</v>
      </c>
      <c r="J1143" s="76"/>
      <c r="K1143" s="76"/>
      <c r="L1143" s="76"/>
      <c r="M1143" s="76"/>
      <c r="N1143" s="76"/>
    </row>
    <row r="1144" spans="2:14" hidden="1">
      <c r="B1144" s="76"/>
      <c r="C1144" s="76"/>
      <c r="D1144" s="76" t="s">
        <v>2331</v>
      </c>
      <c r="E1144" s="76" t="s">
        <v>2092</v>
      </c>
      <c r="F1144" s="76"/>
      <c r="G1144" s="76" t="s">
        <v>877</v>
      </c>
      <c r="H1144" s="76" t="s">
        <v>2245</v>
      </c>
      <c r="I1144" s="76" t="s">
        <v>614</v>
      </c>
      <c r="J1144" s="76"/>
      <c r="K1144" s="76"/>
      <c r="L1144" s="76"/>
      <c r="M1144" s="76"/>
      <c r="N1144" s="76"/>
    </row>
    <row r="1145" spans="2:14" hidden="1">
      <c r="B1145" s="76"/>
      <c r="C1145" s="76"/>
      <c r="D1145" s="76" t="s">
        <v>2333</v>
      </c>
      <c r="E1145" s="76" t="s">
        <v>2094</v>
      </c>
      <c r="F1145" s="76"/>
      <c r="G1145" s="76" t="s">
        <v>616</v>
      </c>
      <c r="H1145" s="76" t="s">
        <v>2245</v>
      </c>
      <c r="I1145" s="76" t="s">
        <v>616</v>
      </c>
      <c r="J1145" s="76"/>
      <c r="K1145" s="76"/>
      <c r="L1145" s="76"/>
      <c r="M1145" s="76"/>
      <c r="N1145" s="76"/>
    </row>
    <row r="1146" spans="2:14" hidden="1">
      <c r="B1146" s="76"/>
      <c r="C1146" s="76"/>
      <c r="D1146" s="76" t="s">
        <v>2341</v>
      </c>
      <c r="E1146" s="76" t="s">
        <v>2102</v>
      </c>
      <c r="F1146" s="76"/>
      <c r="G1146" s="76" t="s">
        <v>617</v>
      </c>
      <c r="H1146" s="76" t="s">
        <v>2384</v>
      </c>
      <c r="I1146" s="76" t="s">
        <v>2523</v>
      </c>
      <c r="J1146" s="76"/>
      <c r="K1146" s="76"/>
      <c r="L1146" s="76"/>
      <c r="M1146" s="76"/>
      <c r="N1146" s="76"/>
    </row>
    <row r="1147" spans="2:14" hidden="1">
      <c r="B1147" s="76"/>
      <c r="C1147" s="76"/>
      <c r="D1147" s="76" t="s">
        <v>2337</v>
      </c>
      <c r="E1147" s="76" t="s">
        <v>2098</v>
      </c>
      <c r="F1147" s="76"/>
      <c r="G1147" s="107" t="s">
        <v>879</v>
      </c>
      <c r="H1147" s="76" t="s">
        <v>2313</v>
      </c>
      <c r="I1147" s="76" t="s">
        <v>619</v>
      </c>
      <c r="J1147" s="76"/>
      <c r="K1147" s="76"/>
      <c r="L1147" s="76"/>
      <c r="M1147" s="76"/>
      <c r="N1147" s="76"/>
    </row>
    <row r="1148" spans="2:14" hidden="1">
      <c r="B1148" s="76"/>
      <c r="C1148" s="76"/>
      <c r="D1148" s="76" t="s">
        <v>2352</v>
      </c>
      <c r="E1148" s="76" t="s">
        <v>2113</v>
      </c>
      <c r="F1148" s="76"/>
      <c r="G1148" s="76" t="s">
        <v>2523</v>
      </c>
      <c r="H1148" s="76" t="s">
        <v>2384</v>
      </c>
      <c r="I1148" s="76" t="s">
        <v>2523</v>
      </c>
      <c r="J1148" s="76"/>
      <c r="K1148" s="76"/>
      <c r="L1148" s="76"/>
      <c r="M1148" s="76"/>
      <c r="N1148" s="76"/>
    </row>
    <row r="1149" spans="2:14" hidden="1">
      <c r="B1149" s="76"/>
      <c r="C1149" s="76"/>
      <c r="D1149" s="76" t="s">
        <v>2353</v>
      </c>
      <c r="E1149" s="76" t="s">
        <v>2114</v>
      </c>
      <c r="F1149" s="76"/>
      <c r="G1149" s="76" t="s">
        <v>618</v>
      </c>
      <c r="H1149" s="76" t="s">
        <v>2420</v>
      </c>
      <c r="I1149" s="76" t="s">
        <v>2524</v>
      </c>
      <c r="J1149" s="76"/>
      <c r="K1149" s="76"/>
      <c r="L1149" s="76"/>
      <c r="M1149" s="76"/>
      <c r="N1149" s="76"/>
    </row>
    <row r="1150" spans="2:14" hidden="1">
      <c r="B1150" s="76"/>
      <c r="C1150" s="76"/>
      <c r="D1150" s="76" t="s">
        <v>2338</v>
      </c>
      <c r="E1150" s="76" t="s">
        <v>2099</v>
      </c>
      <c r="F1150" s="76"/>
      <c r="G1150" s="76" t="s">
        <v>2524</v>
      </c>
      <c r="H1150" s="76" t="s">
        <v>2420</v>
      </c>
      <c r="I1150" s="76" t="s">
        <v>2524</v>
      </c>
      <c r="J1150" s="76"/>
      <c r="K1150" s="76"/>
      <c r="L1150" s="76"/>
      <c r="M1150" s="76"/>
      <c r="N1150" s="76"/>
    </row>
    <row r="1151" spans="2:14" hidden="1">
      <c r="B1151" s="76"/>
      <c r="C1151" s="76"/>
      <c r="D1151" s="76" t="s">
        <v>2342</v>
      </c>
      <c r="E1151" s="76" t="s">
        <v>2103</v>
      </c>
      <c r="F1151" s="76"/>
      <c r="G1151" s="76" t="s">
        <v>2525</v>
      </c>
      <c r="H1151" s="76" t="s">
        <v>2313</v>
      </c>
      <c r="I1151" s="76" t="s">
        <v>619</v>
      </c>
      <c r="J1151" s="76"/>
      <c r="K1151" s="76"/>
      <c r="L1151" s="76"/>
      <c r="M1151" s="76"/>
      <c r="N1151" s="76"/>
    </row>
    <row r="1152" spans="2:14" hidden="1">
      <c r="B1152" s="76"/>
      <c r="C1152" s="76"/>
      <c r="D1152" s="76" t="s">
        <v>2343</v>
      </c>
      <c r="E1152" s="76" t="s">
        <v>2104</v>
      </c>
      <c r="F1152" s="76"/>
      <c r="G1152" s="76" t="s">
        <v>619</v>
      </c>
      <c r="H1152" s="76" t="s">
        <v>2313</v>
      </c>
      <c r="I1152" s="76" t="s">
        <v>619</v>
      </c>
      <c r="J1152" s="76"/>
      <c r="K1152" s="76"/>
      <c r="L1152" s="76"/>
      <c r="M1152" s="76"/>
      <c r="N1152" s="76"/>
    </row>
    <row r="1153" spans="2:14" hidden="1">
      <c r="B1153" s="76"/>
      <c r="C1153" s="76"/>
      <c r="D1153" s="76" t="s">
        <v>2340</v>
      </c>
      <c r="E1153" s="76" t="s">
        <v>2101</v>
      </c>
      <c r="F1153" s="76"/>
      <c r="G1153" s="76" t="s">
        <v>2526</v>
      </c>
      <c r="H1153" s="76" t="s">
        <v>2313</v>
      </c>
      <c r="I1153" s="76" t="s">
        <v>621</v>
      </c>
      <c r="J1153" s="76"/>
      <c r="K1153" s="76"/>
      <c r="L1153" s="76"/>
      <c r="M1153" s="76"/>
      <c r="N1153" s="76"/>
    </row>
    <row r="1154" spans="2:14" hidden="1">
      <c r="B1154" s="76"/>
      <c r="C1154" s="76"/>
      <c r="D1154" s="76" t="s">
        <v>2350</v>
      </c>
      <c r="E1154" s="76" t="s">
        <v>2111</v>
      </c>
      <c r="F1154" s="76"/>
      <c r="G1154" s="76" t="s">
        <v>881</v>
      </c>
      <c r="H1154" s="76" t="s">
        <v>2313</v>
      </c>
      <c r="I1154" s="76" t="s">
        <v>621</v>
      </c>
      <c r="J1154" s="76"/>
      <c r="K1154" s="76"/>
      <c r="L1154" s="76"/>
      <c r="M1154" s="76"/>
      <c r="N1154" s="76"/>
    </row>
    <row r="1155" spans="2:14" hidden="1">
      <c r="B1155" s="76"/>
      <c r="C1155" s="76"/>
      <c r="D1155" s="76" t="s">
        <v>2348</v>
      </c>
      <c r="E1155" s="76" t="s">
        <v>2109</v>
      </c>
      <c r="F1155" s="76"/>
      <c r="G1155" s="76" t="s">
        <v>882</v>
      </c>
      <c r="H1155" s="76" t="s">
        <v>2313</v>
      </c>
      <c r="I1155" s="76" t="s">
        <v>621</v>
      </c>
      <c r="J1155" s="76"/>
      <c r="K1155" s="76"/>
      <c r="L1155" s="76"/>
      <c r="M1155" s="76"/>
      <c r="N1155" s="76"/>
    </row>
    <row r="1156" spans="2:14" hidden="1">
      <c r="B1156" s="76"/>
      <c r="C1156" s="76"/>
      <c r="D1156" s="76" t="s">
        <v>2351</v>
      </c>
      <c r="E1156" s="76" t="s">
        <v>2112</v>
      </c>
      <c r="F1156" s="76"/>
      <c r="G1156" s="76" t="s">
        <v>883</v>
      </c>
      <c r="H1156" s="76" t="s">
        <v>2313</v>
      </c>
      <c r="I1156" s="76" t="s">
        <v>621</v>
      </c>
      <c r="J1156" s="76"/>
      <c r="K1156" s="76"/>
      <c r="L1156" s="76"/>
      <c r="M1156" s="76"/>
      <c r="N1156" s="76"/>
    </row>
    <row r="1157" spans="2:14" hidden="1">
      <c r="B1157" s="76"/>
      <c r="C1157" s="76"/>
      <c r="D1157" s="76" t="s">
        <v>2354</v>
      </c>
      <c r="E1157" s="76" t="s">
        <v>2115</v>
      </c>
      <c r="F1157" s="76"/>
      <c r="G1157" s="76" t="s">
        <v>884</v>
      </c>
      <c r="H1157" s="76" t="s">
        <v>2313</v>
      </c>
      <c r="I1157" s="76" t="s">
        <v>621</v>
      </c>
      <c r="J1157" s="76"/>
      <c r="K1157" s="76"/>
      <c r="L1157" s="76"/>
      <c r="M1157" s="76"/>
      <c r="N1157" s="76"/>
    </row>
    <row r="1158" spans="2:14" hidden="1">
      <c r="B1158" s="76"/>
      <c r="C1158" s="76"/>
      <c r="D1158" s="76" t="s">
        <v>2339</v>
      </c>
      <c r="E1158" s="76" t="s">
        <v>2100</v>
      </c>
      <c r="F1158" s="76"/>
      <c r="G1158" s="76" t="s">
        <v>885</v>
      </c>
      <c r="H1158" s="76" t="s">
        <v>2313</v>
      </c>
      <c r="I1158" s="76" t="s">
        <v>621</v>
      </c>
      <c r="J1158" s="76"/>
      <c r="K1158" s="76"/>
      <c r="L1158" s="76"/>
      <c r="M1158" s="76"/>
      <c r="N1158" s="76"/>
    </row>
    <row r="1159" spans="2:14" hidden="1">
      <c r="B1159" s="76"/>
      <c r="C1159" s="76"/>
      <c r="D1159" s="76" t="s">
        <v>2277</v>
      </c>
      <c r="E1159" s="76" t="s">
        <v>2038</v>
      </c>
      <c r="F1159" s="76"/>
      <c r="G1159" s="76" t="s">
        <v>886</v>
      </c>
      <c r="H1159" s="76" t="s">
        <v>2313</v>
      </c>
      <c r="I1159" s="76" t="s">
        <v>621</v>
      </c>
      <c r="J1159" s="76"/>
      <c r="K1159" s="76"/>
      <c r="L1159" s="76"/>
      <c r="M1159" s="76"/>
      <c r="N1159" s="76"/>
    </row>
    <row r="1160" spans="2:14" hidden="1">
      <c r="B1160" s="76"/>
      <c r="C1160" s="76"/>
      <c r="D1160" s="76" t="s">
        <v>2336</v>
      </c>
      <c r="E1160" s="76" t="s">
        <v>2097</v>
      </c>
      <c r="F1160" s="76"/>
      <c r="G1160" s="76" t="s">
        <v>887</v>
      </c>
      <c r="H1160" s="76" t="s">
        <v>2313</v>
      </c>
      <c r="I1160" s="76" t="s">
        <v>621</v>
      </c>
      <c r="J1160" s="76"/>
      <c r="K1160" s="76"/>
      <c r="L1160" s="76"/>
      <c r="M1160" s="76"/>
      <c r="N1160" s="76"/>
    </row>
    <row r="1161" spans="2:14" hidden="1">
      <c r="B1161" s="76"/>
      <c r="C1161" s="76"/>
      <c r="D1161" s="76" t="s">
        <v>2335</v>
      </c>
      <c r="E1161" s="76" t="s">
        <v>2096</v>
      </c>
      <c r="F1161" s="76"/>
      <c r="G1161" s="76" t="s">
        <v>888</v>
      </c>
      <c r="H1161" s="76" t="s">
        <v>2313</v>
      </c>
      <c r="I1161" s="76" t="s">
        <v>621</v>
      </c>
      <c r="J1161" s="76"/>
      <c r="K1161" s="76"/>
      <c r="L1161" s="76"/>
      <c r="M1161" s="76"/>
      <c r="N1161" s="76"/>
    </row>
    <row r="1162" spans="2:14" hidden="1">
      <c r="B1162" s="76"/>
      <c r="C1162" s="76"/>
      <c r="D1162" s="76" t="s">
        <v>2345</v>
      </c>
      <c r="E1162" s="76" t="s">
        <v>2106</v>
      </c>
      <c r="F1162" s="76"/>
      <c r="G1162" s="76" t="s">
        <v>621</v>
      </c>
      <c r="H1162" s="76" t="s">
        <v>2313</v>
      </c>
      <c r="I1162" s="76" t="s">
        <v>621</v>
      </c>
      <c r="J1162" s="76"/>
      <c r="K1162" s="76"/>
      <c r="L1162" s="76"/>
      <c r="M1162" s="76"/>
      <c r="N1162" s="76"/>
    </row>
    <row r="1163" spans="2:14" hidden="1">
      <c r="B1163" s="76"/>
      <c r="C1163" s="76"/>
      <c r="D1163" s="76" t="s">
        <v>2349</v>
      </c>
      <c r="E1163" s="76" t="s">
        <v>2110</v>
      </c>
      <c r="F1163" s="76"/>
      <c r="G1163" s="107" t="s">
        <v>889</v>
      </c>
      <c r="H1163" s="76" t="s">
        <v>2313</v>
      </c>
      <c r="I1163" s="76" t="s">
        <v>621</v>
      </c>
      <c r="J1163" s="76"/>
      <c r="K1163" s="76"/>
      <c r="L1163" s="76"/>
      <c r="M1163" s="76"/>
      <c r="N1163" s="76"/>
    </row>
    <row r="1164" spans="2:14" hidden="1">
      <c r="B1164" s="76"/>
      <c r="C1164" s="76"/>
      <c r="D1164" s="76" t="s">
        <v>2334</v>
      </c>
      <c r="E1164" s="76" t="s">
        <v>2095</v>
      </c>
      <c r="F1164" s="76"/>
      <c r="G1164" s="76" t="s">
        <v>890</v>
      </c>
      <c r="H1164" s="76" t="s">
        <v>2313</v>
      </c>
      <c r="I1164" s="76" t="s">
        <v>621</v>
      </c>
      <c r="J1164" s="76"/>
      <c r="K1164" s="76"/>
      <c r="L1164" s="76"/>
      <c r="M1164" s="76"/>
      <c r="N1164" s="76"/>
    </row>
    <row r="1165" spans="2:14" hidden="1">
      <c r="B1165" s="76"/>
      <c r="C1165" s="76"/>
      <c r="D1165" s="76" t="s">
        <v>2347</v>
      </c>
      <c r="E1165" s="76" t="s">
        <v>2108</v>
      </c>
      <c r="F1165" s="76"/>
      <c r="G1165" s="76" t="s">
        <v>891</v>
      </c>
      <c r="H1165" s="76" t="s">
        <v>2313</v>
      </c>
      <c r="I1165" s="76" t="s">
        <v>621</v>
      </c>
      <c r="J1165" s="76"/>
      <c r="K1165" s="76"/>
      <c r="L1165" s="76"/>
      <c r="M1165" s="76"/>
      <c r="N1165" s="76"/>
    </row>
    <row r="1166" spans="2:14" hidden="1">
      <c r="B1166" s="76"/>
      <c r="C1166" s="76"/>
      <c r="D1166" s="76" t="s">
        <v>2344</v>
      </c>
      <c r="E1166" s="76" t="s">
        <v>2105</v>
      </c>
      <c r="F1166" s="76"/>
      <c r="G1166" s="76" t="s">
        <v>880</v>
      </c>
      <c r="H1166" s="76" t="s">
        <v>2313</v>
      </c>
      <c r="I1166" s="76" t="s">
        <v>621</v>
      </c>
      <c r="J1166" s="76"/>
      <c r="K1166" s="76"/>
      <c r="L1166" s="76"/>
      <c r="M1166" s="76"/>
      <c r="N1166" s="76"/>
    </row>
    <row r="1167" spans="2:14" hidden="1">
      <c r="B1167" s="76"/>
      <c r="C1167" s="76"/>
      <c r="D1167" s="76" t="s">
        <v>2355</v>
      </c>
      <c r="E1167" s="76" t="s">
        <v>2116</v>
      </c>
      <c r="F1167" s="76"/>
      <c r="G1167" s="76" t="s">
        <v>1807</v>
      </c>
      <c r="H1167" s="76" t="s">
        <v>2245</v>
      </c>
      <c r="I1167" s="76" t="s">
        <v>1807</v>
      </c>
      <c r="J1167" s="76"/>
      <c r="K1167" s="76"/>
      <c r="L1167" s="76"/>
      <c r="M1167" s="76"/>
      <c r="N1167" s="76"/>
    </row>
    <row r="1168" spans="2:14" hidden="1">
      <c r="B1168" s="76"/>
      <c r="C1168" s="76"/>
      <c r="D1168" s="76" t="s">
        <v>2365</v>
      </c>
      <c r="E1168" s="76" t="s">
        <v>2126</v>
      </c>
      <c r="F1168" s="76"/>
      <c r="G1168" s="76" t="s">
        <v>874</v>
      </c>
      <c r="H1168" s="76" t="s">
        <v>2218</v>
      </c>
      <c r="I1168" s="76" t="s">
        <v>1265</v>
      </c>
      <c r="J1168" s="76"/>
      <c r="K1168" s="76"/>
      <c r="L1168" s="76"/>
      <c r="M1168" s="76"/>
      <c r="N1168" s="76"/>
    </row>
    <row r="1169" spans="2:14" hidden="1">
      <c r="B1169" s="76"/>
      <c r="C1169" s="76"/>
      <c r="D1169" s="76" t="s">
        <v>2364</v>
      </c>
      <c r="E1169" s="76" t="s">
        <v>2125</v>
      </c>
      <c r="F1169" s="76"/>
      <c r="G1169" s="76" t="s">
        <v>614</v>
      </c>
      <c r="H1169" s="76" t="s">
        <v>2245</v>
      </c>
      <c r="I1169" s="76" t="s">
        <v>614</v>
      </c>
      <c r="J1169" s="76"/>
      <c r="K1169" s="76"/>
      <c r="L1169" s="76"/>
      <c r="M1169" s="76"/>
      <c r="N1169" s="76"/>
    </row>
    <row r="1170" spans="2:14" hidden="1">
      <c r="B1170" s="76"/>
      <c r="C1170" s="76"/>
      <c r="D1170" s="76" t="s">
        <v>2362</v>
      </c>
      <c r="E1170" s="76" t="s">
        <v>2123</v>
      </c>
      <c r="F1170" s="76"/>
      <c r="G1170" s="76" t="s">
        <v>624</v>
      </c>
      <c r="H1170" s="76" t="s">
        <v>2313</v>
      </c>
      <c r="I1170" s="76" t="s">
        <v>2527</v>
      </c>
      <c r="J1170" s="76"/>
      <c r="K1170" s="76"/>
      <c r="L1170" s="76"/>
      <c r="M1170" s="76"/>
      <c r="N1170" s="76"/>
    </row>
    <row r="1171" spans="2:14" hidden="1">
      <c r="B1171" s="76"/>
      <c r="C1171" s="76"/>
      <c r="D1171" s="76" t="s">
        <v>2210</v>
      </c>
      <c r="E1171" s="76" t="s">
        <v>1971</v>
      </c>
      <c r="F1171" s="76"/>
      <c r="G1171" s="76" t="s">
        <v>2528</v>
      </c>
      <c r="H1171" s="76" t="s">
        <v>2313</v>
      </c>
      <c r="I1171" s="76" t="s">
        <v>619</v>
      </c>
      <c r="J1171" s="76"/>
      <c r="K1171" s="76"/>
      <c r="L1171" s="76"/>
      <c r="M1171" s="76"/>
      <c r="N1171" s="76"/>
    </row>
    <row r="1172" spans="2:14" hidden="1">
      <c r="B1172" s="76"/>
      <c r="C1172" s="76"/>
      <c r="D1172" s="76" t="s">
        <v>2356</v>
      </c>
      <c r="E1172" s="76" t="s">
        <v>2117</v>
      </c>
      <c r="F1172" s="76"/>
      <c r="G1172" s="76" t="s">
        <v>893</v>
      </c>
      <c r="H1172" s="76" t="s">
        <v>2222</v>
      </c>
      <c r="I1172" s="76" t="s">
        <v>626</v>
      </c>
      <c r="J1172" s="76"/>
      <c r="K1172" s="76"/>
      <c r="L1172" s="76"/>
      <c r="M1172" s="76"/>
      <c r="N1172" s="76"/>
    </row>
    <row r="1173" spans="2:14" hidden="1">
      <c r="B1173" s="76"/>
      <c r="C1173" s="76"/>
      <c r="D1173" s="76" t="s">
        <v>2366</v>
      </c>
      <c r="E1173" s="76" t="s">
        <v>2127</v>
      </c>
      <c r="F1173" s="76"/>
      <c r="G1173" s="76" t="s">
        <v>625</v>
      </c>
      <c r="H1173" s="76" t="s">
        <v>2234</v>
      </c>
      <c r="I1173" s="76" t="s">
        <v>625</v>
      </c>
      <c r="J1173" s="76"/>
      <c r="K1173" s="76"/>
      <c r="L1173" s="76"/>
      <c r="M1173" s="76"/>
      <c r="N1173" s="76"/>
    </row>
    <row r="1174" spans="2:14" hidden="1">
      <c r="B1174" s="76"/>
      <c r="C1174" s="76"/>
      <c r="D1174" s="76" t="s">
        <v>2360</v>
      </c>
      <c r="E1174" s="76" t="s">
        <v>2121</v>
      </c>
      <c r="F1174" s="76"/>
      <c r="G1174" s="76" t="s">
        <v>892</v>
      </c>
      <c r="H1174" s="76" t="s">
        <v>2222</v>
      </c>
      <c r="I1174" s="76" t="s">
        <v>626</v>
      </c>
      <c r="J1174" s="76"/>
      <c r="K1174" s="76"/>
      <c r="L1174" s="76"/>
      <c r="M1174" s="76"/>
      <c r="N1174" s="76"/>
    </row>
    <row r="1175" spans="2:14" hidden="1">
      <c r="B1175" s="76"/>
      <c r="C1175" s="76"/>
      <c r="D1175" s="76" t="s">
        <v>2357</v>
      </c>
      <c r="E1175" s="76" t="s">
        <v>2118</v>
      </c>
      <c r="F1175" s="76"/>
      <c r="G1175" s="76" t="s">
        <v>894</v>
      </c>
      <c r="H1175" s="76" t="s">
        <v>2222</v>
      </c>
      <c r="I1175" s="76" t="s">
        <v>626</v>
      </c>
      <c r="J1175" s="76"/>
      <c r="K1175" s="76"/>
      <c r="L1175" s="76"/>
      <c r="M1175" s="76"/>
      <c r="N1175" s="76"/>
    </row>
    <row r="1176" spans="2:14" hidden="1">
      <c r="B1176" s="76"/>
      <c r="C1176" s="76"/>
      <c r="D1176" s="76" t="s">
        <v>2359</v>
      </c>
      <c r="E1176" s="76" t="s">
        <v>2120</v>
      </c>
      <c r="F1176" s="76"/>
      <c r="G1176" s="76" t="s">
        <v>2529</v>
      </c>
      <c r="H1176" s="76" t="s">
        <v>2222</v>
      </c>
      <c r="I1176" s="76" t="s">
        <v>626</v>
      </c>
      <c r="J1176" s="76"/>
      <c r="K1176" s="76"/>
      <c r="L1176" s="76"/>
      <c r="M1176" s="76"/>
      <c r="N1176" s="76"/>
    </row>
    <row r="1177" spans="2:14" hidden="1">
      <c r="B1177" s="76"/>
      <c r="C1177" s="76"/>
      <c r="D1177" s="76" t="s">
        <v>2361</v>
      </c>
      <c r="E1177" s="76" t="s">
        <v>2122</v>
      </c>
      <c r="F1177" s="76"/>
      <c r="G1177" s="76" t="s">
        <v>626</v>
      </c>
      <c r="H1177" s="76" t="s">
        <v>2222</v>
      </c>
      <c r="I1177" s="76" t="s">
        <v>626</v>
      </c>
      <c r="J1177" s="76"/>
      <c r="K1177" s="76"/>
      <c r="L1177" s="76"/>
      <c r="M1177" s="76"/>
      <c r="N1177" s="76"/>
    </row>
    <row r="1178" spans="2:14" hidden="1">
      <c r="B1178" s="76"/>
      <c r="C1178" s="76"/>
      <c r="D1178" s="76" t="s">
        <v>2358</v>
      </c>
      <c r="E1178" s="76" t="s">
        <v>2119</v>
      </c>
      <c r="F1178" s="76"/>
      <c r="G1178" s="76" t="s">
        <v>47</v>
      </c>
      <c r="H1178" s="76" t="s">
        <v>2426</v>
      </c>
      <c r="I1178" s="76" t="s">
        <v>47</v>
      </c>
      <c r="J1178" s="76"/>
      <c r="K1178" s="76"/>
      <c r="L1178" s="76"/>
      <c r="M1178" s="76"/>
      <c r="N1178" s="76"/>
    </row>
    <row r="1179" spans="2:14" hidden="1">
      <c r="B1179" s="76"/>
      <c r="C1179" s="76"/>
      <c r="D1179" s="76" t="s">
        <v>2346</v>
      </c>
      <c r="E1179" s="76" t="s">
        <v>2107</v>
      </c>
      <c r="F1179" s="76"/>
      <c r="G1179" s="76" t="s">
        <v>2530</v>
      </c>
      <c r="H1179" s="76" t="s">
        <v>2243</v>
      </c>
      <c r="I1179" s="76" t="s">
        <v>627</v>
      </c>
      <c r="J1179" s="76"/>
      <c r="K1179" s="76"/>
      <c r="L1179" s="76"/>
      <c r="M1179" s="76"/>
      <c r="N1179" s="76"/>
    </row>
    <row r="1180" spans="2:14" hidden="1">
      <c r="B1180" s="76"/>
      <c r="C1180" s="76"/>
      <c r="D1180" s="76" t="s">
        <v>2363</v>
      </c>
      <c r="E1180" s="76" t="s">
        <v>2124</v>
      </c>
      <c r="F1180" s="76"/>
      <c r="G1180" s="76" t="s">
        <v>627</v>
      </c>
      <c r="H1180" s="76" t="s">
        <v>2243</v>
      </c>
      <c r="I1180" s="76" t="s">
        <v>627</v>
      </c>
      <c r="J1180" s="76"/>
      <c r="K1180" s="76"/>
      <c r="L1180" s="76"/>
      <c r="M1180" s="76"/>
      <c r="N1180" s="76"/>
    </row>
    <row r="1181" spans="2:14" hidden="1">
      <c r="B1181" s="76"/>
      <c r="C1181" s="76"/>
      <c r="D1181" s="76" t="s">
        <v>2367</v>
      </c>
      <c r="E1181" s="76" t="s">
        <v>2128</v>
      </c>
      <c r="F1181" s="76"/>
      <c r="G1181" s="76" t="s">
        <v>895</v>
      </c>
      <c r="H1181" s="76" t="s">
        <v>2243</v>
      </c>
      <c r="I1181" s="76" t="s">
        <v>627</v>
      </c>
      <c r="J1181" s="76"/>
      <c r="K1181" s="76"/>
      <c r="L1181" s="76"/>
      <c r="M1181" s="76"/>
      <c r="N1181" s="76"/>
    </row>
    <row r="1182" spans="2:14" hidden="1">
      <c r="B1182" s="76"/>
      <c r="C1182" s="76"/>
      <c r="D1182" s="76" t="s">
        <v>2368</v>
      </c>
      <c r="E1182" s="76" t="s">
        <v>2129</v>
      </c>
      <c r="F1182" s="76"/>
      <c r="G1182" s="76" t="s">
        <v>861</v>
      </c>
      <c r="H1182" s="76" t="s">
        <v>2259</v>
      </c>
      <c r="I1182" s="76" t="s">
        <v>586</v>
      </c>
      <c r="J1182" s="76"/>
      <c r="K1182" s="76"/>
      <c r="L1182" s="76"/>
      <c r="M1182" s="76"/>
      <c r="N1182" s="76"/>
    </row>
    <row r="1183" spans="2:14" hidden="1">
      <c r="B1183" s="76"/>
      <c r="C1183" s="76"/>
      <c r="D1183" s="76" t="s">
        <v>2373</v>
      </c>
      <c r="E1183" s="76" t="s">
        <v>2134</v>
      </c>
      <c r="F1183" s="76"/>
      <c r="G1183" s="76" t="s">
        <v>875</v>
      </c>
      <c r="H1183" s="76" t="s">
        <v>2218</v>
      </c>
      <c r="I1183" s="76" t="s">
        <v>1265</v>
      </c>
      <c r="J1183" s="76"/>
      <c r="K1183" s="76"/>
      <c r="L1183" s="76"/>
      <c r="M1183" s="76"/>
      <c r="N1183" s="76"/>
    </row>
    <row r="1184" spans="2:14" hidden="1">
      <c r="B1184" s="76"/>
      <c r="C1184" s="76"/>
      <c r="D1184" s="76" t="s">
        <v>2369</v>
      </c>
      <c r="E1184" s="76" t="s">
        <v>2130</v>
      </c>
      <c r="F1184" s="76"/>
      <c r="G1184" s="76" t="s">
        <v>1265</v>
      </c>
      <c r="H1184" s="76" t="s">
        <v>2218</v>
      </c>
      <c r="I1184" s="76" t="s">
        <v>1265</v>
      </c>
      <c r="J1184" s="76"/>
      <c r="K1184" s="76"/>
      <c r="L1184" s="76"/>
      <c r="M1184" s="76"/>
      <c r="N1184" s="76"/>
    </row>
    <row r="1185" spans="2:14" hidden="1">
      <c r="B1185" s="76"/>
      <c r="C1185" s="76"/>
      <c r="D1185" s="76" t="s">
        <v>2374</v>
      </c>
      <c r="E1185" s="76" t="s">
        <v>2135</v>
      </c>
      <c r="F1185" s="76"/>
      <c r="G1185" s="76" t="s">
        <v>2531</v>
      </c>
      <c r="H1185" s="76" t="s">
        <v>2241</v>
      </c>
      <c r="I1185" s="76" t="s">
        <v>629</v>
      </c>
      <c r="J1185" s="76"/>
      <c r="K1185" s="76"/>
      <c r="L1185" s="76"/>
      <c r="M1185" s="76"/>
      <c r="N1185" s="76"/>
    </row>
    <row r="1186" spans="2:14" hidden="1">
      <c r="B1186" s="76"/>
      <c r="C1186" s="76"/>
      <c r="D1186" s="76" t="s">
        <v>2379</v>
      </c>
      <c r="E1186" s="76" t="s">
        <v>2140</v>
      </c>
      <c r="F1186" s="76"/>
      <c r="G1186" s="76" t="s">
        <v>629</v>
      </c>
      <c r="H1186" s="76" t="s">
        <v>2241</v>
      </c>
      <c r="I1186" s="76" t="s">
        <v>629</v>
      </c>
      <c r="J1186" s="76"/>
      <c r="K1186" s="76"/>
      <c r="L1186" s="76"/>
      <c r="M1186" s="76"/>
      <c r="N1186" s="76"/>
    </row>
    <row r="1187" spans="2:14" hidden="1">
      <c r="B1187" s="76"/>
      <c r="C1187" s="76"/>
      <c r="D1187" s="76" t="s">
        <v>2371</v>
      </c>
      <c r="E1187" s="76" t="s">
        <v>2132</v>
      </c>
      <c r="F1187" s="76"/>
      <c r="G1187" s="76" t="s">
        <v>896</v>
      </c>
      <c r="H1187" s="76" t="s">
        <v>2241</v>
      </c>
      <c r="I1187" s="76" t="s">
        <v>629</v>
      </c>
      <c r="J1187" s="76"/>
      <c r="K1187" s="76"/>
      <c r="L1187" s="76"/>
      <c r="M1187" s="76"/>
      <c r="N1187" s="76"/>
    </row>
    <row r="1188" spans="2:14" hidden="1">
      <c r="B1188" s="76"/>
      <c r="C1188" s="76"/>
      <c r="D1188" s="76" t="s">
        <v>2372</v>
      </c>
      <c r="E1188" s="76" t="s">
        <v>2133</v>
      </c>
      <c r="F1188" s="76"/>
      <c r="G1188" s="76" t="s">
        <v>48</v>
      </c>
      <c r="H1188" s="76" t="s">
        <v>2313</v>
      </c>
      <c r="I1188" s="76" t="s">
        <v>48</v>
      </c>
      <c r="J1188" s="76"/>
      <c r="K1188" s="76"/>
      <c r="L1188" s="76"/>
      <c r="M1188" s="76"/>
      <c r="N1188" s="76"/>
    </row>
    <row r="1189" spans="2:14" hidden="1">
      <c r="B1189" s="76"/>
      <c r="C1189" s="76"/>
      <c r="D1189" s="76" t="s">
        <v>2370</v>
      </c>
      <c r="E1189" s="76" t="s">
        <v>2131</v>
      </c>
      <c r="F1189" s="76"/>
      <c r="G1189" s="76" t="s">
        <v>631</v>
      </c>
      <c r="H1189" s="76" t="s">
        <v>2245</v>
      </c>
      <c r="I1189" s="76" t="s">
        <v>1808</v>
      </c>
      <c r="J1189" s="76"/>
      <c r="K1189" s="76"/>
      <c r="L1189" s="76"/>
      <c r="M1189" s="76"/>
      <c r="N1189" s="76"/>
    </row>
    <row r="1190" spans="2:14" hidden="1">
      <c r="B1190" s="76"/>
      <c r="C1190" s="76"/>
      <c r="D1190" s="76" t="s">
        <v>2375</v>
      </c>
      <c r="E1190" s="76" t="s">
        <v>2136</v>
      </c>
      <c r="F1190" s="76"/>
      <c r="G1190" s="76" t="s">
        <v>1808</v>
      </c>
      <c r="H1190" s="76" t="s">
        <v>2245</v>
      </c>
      <c r="I1190" s="76" t="s">
        <v>1808</v>
      </c>
      <c r="J1190" s="76"/>
      <c r="K1190" s="76"/>
      <c r="L1190" s="76"/>
      <c r="M1190" s="76"/>
      <c r="N1190" s="76"/>
    </row>
    <row r="1191" spans="2:14" hidden="1">
      <c r="B1191" s="76"/>
      <c r="C1191" s="76"/>
      <c r="D1191" s="76" t="s">
        <v>2378</v>
      </c>
      <c r="E1191" s="76" t="s">
        <v>2139</v>
      </c>
      <c r="F1191" s="76"/>
      <c r="G1191" s="76" t="s">
        <v>632</v>
      </c>
      <c r="H1191" s="76" t="s">
        <v>2245</v>
      </c>
      <c r="I1191" s="76" t="s">
        <v>1809</v>
      </c>
      <c r="J1191" s="76"/>
      <c r="K1191" s="76"/>
      <c r="L1191" s="76"/>
      <c r="M1191" s="76"/>
      <c r="N1191" s="76"/>
    </row>
    <row r="1192" spans="2:14" hidden="1">
      <c r="B1192" s="76"/>
      <c r="C1192" s="76"/>
      <c r="D1192" s="76" t="s">
        <v>2376</v>
      </c>
      <c r="E1192" s="76" t="s">
        <v>2137</v>
      </c>
      <c r="F1192" s="76"/>
      <c r="G1192" s="76" t="s">
        <v>1809</v>
      </c>
      <c r="H1192" s="76" t="s">
        <v>2245</v>
      </c>
      <c r="I1192" s="76" t="s">
        <v>1809</v>
      </c>
      <c r="J1192" s="76"/>
      <c r="K1192" s="76"/>
      <c r="L1192" s="76"/>
      <c r="M1192" s="76"/>
      <c r="N1192" s="76"/>
    </row>
    <row r="1193" spans="2:14" hidden="1">
      <c r="B1193" s="76"/>
      <c r="C1193" s="76"/>
      <c r="D1193" s="76" t="s">
        <v>2381</v>
      </c>
      <c r="E1193" s="76" t="s">
        <v>2142</v>
      </c>
      <c r="F1193" s="76"/>
      <c r="G1193" s="95" t="s">
        <v>569</v>
      </c>
      <c r="H1193" s="76"/>
      <c r="I1193" s="76"/>
      <c r="J1193" s="76"/>
      <c r="K1193" s="76"/>
      <c r="L1193" s="76"/>
      <c r="M1193" s="76"/>
      <c r="N1193" s="76"/>
    </row>
    <row r="1194" spans="2:14" hidden="1">
      <c r="B1194" s="76"/>
      <c r="C1194" s="76"/>
      <c r="D1194" s="76" t="s">
        <v>2382</v>
      </c>
      <c r="E1194" s="76" t="s">
        <v>2143</v>
      </c>
      <c r="F1194" s="76"/>
      <c r="G1194" s="76" t="s">
        <v>900</v>
      </c>
      <c r="H1194" s="76" t="s">
        <v>2426</v>
      </c>
      <c r="I1194" s="76" t="s">
        <v>1782</v>
      </c>
      <c r="J1194" s="76"/>
      <c r="K1194" s="76"/>
      <c r="L1194" s="76"/>
      <c r="M1194" s="76"/>
      <c r="N1194" s="76"/>
    </row>
    <row r="1195" spans="2:14" hidden="1">
      <c r="B1195" s="76"/>
      <c r="C1195" s="76"/>
      <c r="D1195" s="76" t="s">
        <v>2383</v>
      </c>
      <c r="E1195" s="76" t="s">
        <v>2144</v>
      </c>
      <c r="F1195" s="76"/>
      <c r="G1195" s="76" t="s">
        <v>912</v>
      </c>
      <c r="H1195" s="76" t="s">
        <v>2245</v>
      </c>
      <c r="I1195" s="76" t="s">
        <v>1801</v>
      </c>
      <c r="J1195" s="76"/>
      <c r="K1195" s="76"/>
      <c r="L1195" s="76"/>
      <c r="M1195" s="76"/>
      <c r="N1195" s="76"/>
    </row>
    <row r="1196" spans="2:14" hidden="1">
      <c r="B1196" s="76"/>
      <c r="C1196" s="76"/>
      <c r="D1196" s="76" t="s">
        <v>2384</v>
      </c>
      <c r="E1196" s="76" t="s">
        <v>2145</v>
      </c>
      <c r="F1196" s="76"/>
      <c r="G1196" s="76" t="s">
        <v>65</v>
      </c>
      <c r="H1196" s="76" t="s">
        <v>2245</v>
      </c>
      <c r="I1196" s="76" t="s">
        <v>61</v>
      </c>
      <c r="J1196" s="76"/>
      <c r="K1196" s="76"/>
      <c r="L1196" s="76"/>
      <c r="M1196" s="76"/>
      <c r="N1196" s="76"/>
    </row>
    <row r="1197" spans="2:14" hidden="1">
      <c r="B1197" s="76"/>
      <c r="C1197" s="76"/>
      <c r="D1197" s="76" t="s">
        <v>2385</v>
      </c>
      <c r="E1197" s="76" t="s">
        <v>2146</v>
      </c>
      <c r="F1197" s="76"/>
      <c r="G1197" s="76" t="s">
        <v>56</v>
      </c>
      <c r="H1197" s="76" t="s">
        <v>2245</v>
      </c>
      <c r="I1197" s="76" t="s">
        <v>56</v>
      </c>
      <c r="J1197" s="76"/>
      <c r="K1197" s="76"/>
      <c r="L1197" s="76"/>
      <c r="M1197" s="76"/>
      <c r="N1197" s="76"/>
    </row>
    <row r="1198" spans="2:14" hidden="1">
      <c r="B1198" s="76"/>
      <c r="C1198" s="76"/>
      <c r="D1198" s="76" t="s">
        <v>2319</v>
      </c>
      <c r="E1198" s="76" t="s">
        <v>2080</v>
      </c>
      <c r="F1198" s="76"/>
      <c r="G1198" s="76" t="s">
        <v>58</v>
      </c>
      <c r="H1198" s="76" t="s">
        <v>2245</v>
      </c>
      <c r="I1198" s="76" t="s">
        <v>56</v>
      </c>
      <c r="J1198" s="76"/>
      <c r="K1198" s="76"/>
      <c r="L1198" s="76"/>
      <c r="M1198" s="76"/>
      <c r="N1198" s="76"/>
    </row>
    <row r="1199" spans="2:14" hidden="1">
      <c r="B1199" s="76"/>
      <c r="C1199" s="76"/>
      <c r="D1199" s="76" t="s">
        <v>2326</v>
      </c>
      <c r="E1199" s="76" t="s">
        <v>2087</v>
      </c>
      <c r="F1199" s="76"/>
      <c r="G1199" s="76" t="s">
        <v>903</v>
      </c>
      <c r="H1199" s="76" t="s">
        <v>2233</v>
      </c>
      <c r="I1199" s="76" t="s">
        <v>1790</v>
      </c>
      <c r="J1199" s="76"/>
      <c r="K1199" s="76"/>
      <c r="L1199" s="76"/>
      <c r="M1199" s="76"/>
      <c r="N1199" s="76"/>
    </row>
    <row r="1200" spans="2:14" hidden="1">
      <c r="B1200" s="76"/>
      <c r="C1200" s="76"/>
      <c r="D1200" s="76" t="s">
        <v>2429</v>
      </c>
      <c r="E1200" s="76" t="s">
        <v>2190</v>
      </c>
      <c r="F1200" s="76"/>
      <c r="G1200" s="76" t="s">
        <v>1782</v>
      </c>
      <c r="H1200" s="76" t="s">
        <v>2426</v>
      </c>
      <c r="I1200" s="76" t="s">
        <v>1782</v>
      </c>
      <c r="J1200" s="76"/>
      <c r="K1200" s="76"/>
      <c r="L1200" s="76"/>
      <c r="M1200" s="76"/>
      <c r="N1200" s="76"/>
    </row>
    <row r="1201" spans="2:14" hidden="1">
      <c r="B1201" s="76"/>
      <c r="C1201" s="76"/>
      <c r="D1201" s="76" t="s">
        <v>2436</v>
      </c>
      <c r="E1201" s="76" t="s">
        <v>2197</v>
      </c>
      <c r="F1201" s="76"/>
      <c r="G1201" s="76" t="s">
        <v>1783</v>
      </c>
      <c r="H1201" s="76" t="s">
        <v>2302</v>
      </c>
      <c r="I1201" s="107" t="s">
        <v>35</v>
      </c>
      <c r="J1201" s="76"/>
      <c r="K1201" s="76"/>
      <c r="L1201" s="76"/>
      <c r="M1201" s="76"/>
      <c r="N1201" s="76"/>
    </row>
    <row r="1202" spans="2:14" hidden="1">
      <c r="B1202" s="76"/>
      <c r="C1202" s="76"/>
      <c r="D1202" s="76" t="s">
        <v>2396</v>
      </c>
      <c r="E1202" s="76" t="s">
        <v>2157</v>
      </c>
      <c r="F1202" s="76"/>
      <c r="G1202" s="76" t="s">
        <v>1784</v>
      </c>
      <c r="H1202" s="76" t="s">
        <v>2302</v>
      </c>
      <c r="I1202" s="107" t="s">
        <v>1784</v>
      </c>
      <c r="J1202" s="76"/>
      <c r="K1202" s="76"/>
      <c r="L1202" s="76"/>
      <c r="M1202" s="76"/>
      <c r="N1202" s="76"/>
    </row>
    <row r="1203" spans="2:14" hidden="1">
      <c r="B1203" s="76"/>
      <c r="C1203" s="76"/>
      <c r="D1203" s="76" t="s">
        <v>2399</v>
      </c>
      <c r="E1203" s="76" t="s">
        <v>2160</v>
      </c>
      <c r="F1203" s="76"/>
      <c r="G1203" s="76" t="s">
        <v>2475</v>
      </c>
      <c r="H1203" s="76" t="s">
        <v>2302</v>
      </c>
      <c r="I1203" s="107" t="s">
        <v>2475</v>
      </c>
      <c r="J1203" s="76"/>
      <c r="K1203" s="76"/>
      <c r="L1203" s="76"/>
      <c r="M1203" s="76"/>
      <c r="N1203" s="76"/>
    </row>
    <row r="1204" spans="2:14" hidden="1">
      <c r="B1204" s="76"/>
      <c r="C1204" s="76"/>
      <c r="D1204" s="76" t="s">
        <v>2386</v>
      </c>
      <c r="E1204" s="76" t="s">
        <v>2147</v>
      </c>
      <c r="F1204" s="76"/>
      <c r="G1204" s="76" t="s">
        <v>1785</v>
      </c>
      <c r="H1204" s="76" t="s">
        <v>2302</v>
      </c>
      <c r="I1204" s="76" t="s">
        <v>1785</v>
      </c>
      <c r="J1204" s="76"/>
      <c r="K1204" s="76"/>
      <c r="L1204" s="76"/>
      <c r="M1204" s="76"/>
      <c r="N1204" s="76"/>
    </row>
    <row r="1205" spans="2:14" hidden="1">
      <c r="B1205" s="76"/>
      <c r="C1205" s="76"/>
      <c r="D1205" s="76" t="s">
        <v>2388</v>
      </c>
      <c r="E1205" s="76" t="s">
        <v>2149</v>
      </c>
      <c r="F1205" s="76"/>
      <c r="G1205" s="76" t="s">
        <v>1786</v>
      </c>
      <c r="H1205" s="76" t="s">
        <v>2302</v>
      </c>
      <c r="I1205" s="76" t="s">
        <v>1786</v>
      </c>
      <c r="J1205" s="76"/>
      <c r="K1205" s="76"/>
      <c r="L1205" s="76"/>
      <c r="M1205" s="76"/>
      <c r="N1205" s="76"/>
    </row>
    <row r="1206" spans="2:14" hidden="1">
      <c r="B1206" s="76"/>
      <c r="C1206" s="76"/>
      <c r="D1206" s="76" t="s">
        <v>2405</v>
      </c>
      <c r="E1206" s="76" t="s">
        <v>2166</v>
      </c>
      <c r="F1206" s="76"/>
      <c r="G1206" s="76" t="s">
        <v>1787</v>
      </c>
      <c r="H1206" s="76" t="s">
        <v>2302</v>
      </c>
      <c r="I1206" s="76" t="s">
        <v>1787</v>
      </c>
      <c r="J1206" s="76"/>
      <c r="K1206" s="76"/>
      <c r="L1206" s="76"/>
      <c r="M1206" s="76"/>
      <c r="N1206" s="76"/>
    </row>
    <row r="1207" spans="2:14" hidden="1">
      <c r="B1207" s="76"/>
      <c r="C1207" s="76"/>
      <c r="D1207" s="76" t="s">
        <v>2394</v>
      </c>
      <c r="E1207" s="76" t="s">
        <v>2155</v>
      </c>
      <c r="F1207" s="76"/>
      <c r="G1207" s="76" t="s">
        <v>1788</v>
      </c>
      <c r="H1207" s="76" t="s">
        <v>2302</v>
      </c>
      <c r="I1207" s="107" t="s">
        <v>1788</v>
      </c>
      <c r="J1207" s="76"/>
      <c r="K1207" s="76"/>
      <c r="L1207" s="76"/>
      <c r="M1207" s="76"/>
      <c r="N1207" s="76"/>
    </row>
    <row r="1208" spans="2:14" hidden="1">
      <c r="B1208" s="76"/>
      <c r="C1208" s="76"/>
      <c r="D1208" s="76" t="s">
        <v>2389</v>
      </c>
      <c r="E1208" s="76" t="s">
        <v>2150</v>
      </c>
      <c r="F1208" s="76"/>
      <c r="G1208" s="76" t="s">
        <v>1789</v>
      </c>
      <c r="H1208" s="76" t="s">
        <v>2302</v>
      </c>
      <c r="I1208" s="76" t="s">
        <v>1789</v>
      </c>
      <c r="J1208" s="76"/>
      <c r="K1208" s="76"/>
      <c r="L1208" s="76"/>
      <c r="M1208" s="76"/>
      <c r="N1208" s="76"/>
    </row>
    <row r="1209" spans="2:14" hidden="1">
      <c r="B1209" s="76"/>
      <c r="C1209" s="76"/>
      <c r="D1209" s="76" t="s">
        <v>2401</v>
      </c>
      <c r="E1209" s="76" t="s">
        <v>2162</v>
      </c>
      <c r="F1209" s="76"/>
      <c r="G1209" s="76" t="s">
        <v>1790</v>
      </c>
      <c r="H1209" s="76" t="s">
        <v>2233</v>
      </c>
      <c r="I1209" s="76" t="s">
        <v>1790</v>
      </c>
      <c r="J1209" s="76"/>
      <c r="K1209" s="76"/>
      <c r="L1209" s="76"/>
      <c r="M1209" s="76"/>
      <c r="N1209" s="76"/>
    </row>
    <row r="1210" spans="2:14" hidden="1">
      <c r="B1210" s="76"/>
      <c r="C1210" s="76"/>
      <c r="D1210" s="76" t="s">
        <v>2402</v>
      </c>
      <c r="E1210" s="76" t="s">
        <v>2163</v>
      </c>
      <c r="F1210" s="76"/>
      <c r="G1210" s="76" t="s">
        <v>901</v>
      </c>
      <c r="H1210" s="76" t="s">
        <v>2233</v>
      </c>
      <c r="I1210" s="76" t="s">
        <v>1790</v>
      </c>
      <c r="J1210" s="76"/>
      <c r="K1210" s="76"/>
      <c r="L1210" s="76"/>
      <c r="M1210" s="76"/>
      <c r="N1210" s="76"/>
    </row>
    <row r="1211" spans="2:14" hidden="1">
      <c r="B1211" s="76"/>
      <c r="C1211" s="76"/>
      <c r="D1211" s="76" t="s">
        <v>2393</v>
      </c>
      <c r="E1211" s="76" t="s">
        <v>2154</v>
      </c>
      <c r="F1211" s="76"/>
      <c r="G1211" s="76" t="s">
        <v>902</v>
      </c>
      <c r="H1211" s="76" t="s">
        <v>2233</v>
      </c>
      <c r="I1211" s="76" t="s">
        <v>1790</v>
      </c>
      <c r="J1211" s="76"/>
      <c r="K1211" s="76"/>
      <c r="L1211" s="76"/>
      <c r="M1211" s="76"/>
      <c r="N1211" s="76"/>
    </row>
    <row r="1212" spans="2:14" hidden="1">
      <c r="B1212" s="76"/>
      <c r="C1212" s="76"/>
      <c r="D1212" s="76" t="s">
        <v>2397</v>
      </c>
      <c r="E1212" s="76" t="s">
        <v>2158</v>
      </c>
      <c r="F1212" s="76"/>
      <c r="G1212" s="76" t="s">
        <v>908</v>
      </c>
      <c r="H1212" s="76" t="s">
        <v>2371</v>
      </c>
      <c r="I1212" s="76" t="s">
        <v>2620</v>
      </c>
      <c r="J1212" s="76"/>
      <c r="K1212" s="76"/>
      <c r="L1212" s="76"/>
      <c r="M1212" s="76"/>
      <c r="N1212" s="76"/>
    </row>
    <row r="1213" spans="2:14" hidden="1">
      <c r="B1213" s="76"/>
      <c r="C1213" s="76"/>
      <c r="D1213" s="76" t="s">
        <v>2439</v>
      </c>
      <c r="E1213" s="76" t="s">
        <v>2200</v>
      </c>
      <c r="F1213" s="76"/>
      <c r="G1213" s="76" t="s">
        <v>910</v>
      </c>
      <c r="H1213" s="76" t="s">
        <v>2371</v>
      </c>
      <c r="I1213" s="76" t="s">
        <v>2620</v>
      </c>
      <c r="J1213" s="76"/>
      <c r="K1213" s="76"/>
      <c r="L1213" s="76"/>
      <c r="M1213" s="76"/>
      <c r="N1213" s="76"/>
    </row>
    <row r="1214" spans="2:14" hidden="1">
      <c r="B1214" s="76"/>
      <c r="C1214" s="76"/>
      <c r="D1214" s="76" t="s">
        <v>2390</v>
      </c>
      <c r="E1214" s="76" t="s">
        <v>2151</v>
      </c>
      <c r="F1214" s="76"/>
      <c r="G1214" s="76" t="s">
        <v>1564</v>
      </c>
      <c r="H1214" s="76" t="s">
        <v>2245</v>
      </c>
      <c r="I1214" s="76" t="s">
        <v>40</v>
      </c>
      <c r="J1214" s="76"/>
      <c r="K1214" s="76"/>
      <c r="L1214" s="76"/>
      <c r="M1214" s="76"/>
      <c r="N1214" s="76"/>
    </row>
    <row r="1215" spans="2:14" hidden="1">
      <c r="B1215" s="76"/>
      <c r="C1215" s="76"/>
      <c r="D1215" s="76" t="s">
        <v>2269</v>
      </c>
      <c r="E1215" s="76" t="s">
        <v>2030</v>
      </c>
      <c r="F1215" s="76"/>
      <c r="G1215" s="76" t="s">
        <v>40</v>
      </c>
      <c r="H1215" s="76" t="s">
        <v>2245</v>
      </c>
      <c r="I1215" s="76" t="s">
        <v>40</v>
      </c>
      <c r="J1215" s="76"/>
      <c r="K1215" s="76"/>
      <c r="L1215" s="76"/>
      <c r="M1215" s="76"/>
      <c r="N1215" s="76"/>
    </row>
    <row r="1216" spans="2:14" hidden="1">
      <c r="B1216" s="76"/>
      <c r="C1216" s="76"/>
      <c r="D1216" s="76" t="s">
        <v>2328</v>
      </c>
      <c r="E1216" s="76" t="s">
        <v>2089</v>
      </c>
      <c r="F1216" s="76"/>
      <c r="G1216" s="76" t="s">
        <v>1791</v>
      </c>
      <c r="H1216" s="76" t="s">
        <v>2245</v>
      </c>
      <c r="I1216" s="76" t="s">
        <v>1791</v>
      </c>
      <c r="J1216" s="76"/>
      <c r="K1216" s="76"/>
      <c r="L1216" s="76"/>
      <c r="M1216" s="76"/>
      <c r="N1216" s="76"/>
    </row>
    <row r="1217" spans="2:14" hidden="1">
      <c r="B1217" s="76"/>
      <c r="C1217" s="76"/>
      <c r="D1217" s="76" t="s">
        <v>2391</v>
      </c>
      <c r="E1217" s="76" t="s">
        <v>2152</v>
      </c>
      <c r="F1217" s="76"/>
      <c r="G1217" s="76" t="s">
        <v>812</v>
      </c>
      <c r="H1217" s="76" t="s">
        <v>2245</v>
      </c>
      <c r="I1217" s="76" t="s">
        <v>1791</v>
      </c>
      <c r="J1217" s="76"/>
      <c r="K1217" s="76"/>
      <c r="L1217" s="76"/>
      <c r="M1217" s="76"/>
      <c r="N1217" s="76"/>
    </row>
    <row r="1218" spans="2:14" hidden="1">
      <c r="B1218" s="76"/>
      <c r="C1218" s="76"/>
      <c r="D1218" s="76" t="s">
        <v>2398</v>
      </c>
      <c r="E1218" s="76" t="s">
        <v>2159</v>
      </c>
      <c r="F1218" s="76"/>
      <c r="G1218" s="76" t="s">
        <v>1792</v>
      </c>
      <c r="H1218" s="76" t="s">
        <v>2245</v>
      </c>
      <c r="I1218" s="76" t="s">
        <v>1792</v>
      </c>
      <c r="J1218" s="76"/>
      <c r="K1218" s="76"/>
      <c r="L1218" s="76"/>
      <c r="M1218" s="76"/>
      <c r="N1218" s="76"/>
    </row>
    <row r="1219" spans="2:14" hidden="1">
      <c r="B1219" s="76"/>
      <c r="C1219" s="76"/>
      <c r="D1219" s="76" t="s">
        <v>2387</v>
      </c>
      <c r="E1219" s="76" t="s">
        <v>2148</v>
      </c>
      <c r="F1219" s="76"/>
      <c r="G1219" s="76" t="s">
        <v>60</v>
      </c>
      <c r="H1219" s="76" t="s">
        <v>2245</v>
      </c>
      <c r="I1219" s="76" t="s">
        <v>56</v>
      </c>
      <c r="J1219" s="76"/>
      <c r="K1219" s="76"/>
      <c r="L1219" s="76"/>
      <c r="M1219" s="76"/>
      <c r="N1219" s="76"/>
    </row>
    <row r="1220" spans="2:14" hidden="1">
      <c r="B1220" s="76"/>
      <c r="C1220" s="76"/>
      <c r="D1220" s="76" t="s">
        <v>2400</v>
      </c>
      <c r="E1220" s="76" t="s">
        <v>2161</v>
      </c>
      <c r="F1220" s="76"/>
      <c r="G1220" s="76" t="s">
        <v>813</v>
      </c>
      <c r="H1220" s="76" t="s">
        <v>2245</v>
      </c>
      <c r="I1220" s="76" t="s">
        <v>1792</v>
      </c>
      <c r="J1220" s="76"/>
      <c r="K1220" s="76"/>
      <c r="L1220" s="76"/>
      <c r="M1220" s="76"/>
      <c r="N1220" s="76"/>
    </row>
    <row r="1221" spans="2:14" hidden="1">
      <c r="B1221" s="76"/>
      <c r="C1221" s="76"/>
      <c r="D1221" s="76" t="s">
        <v>2392</v>
      </c>
      <c r="E1221" s="76" t="s">
        <v>2153</v>
      </c>
      <c r="F1221" s="76"/>
      <c r="G1221" s="76" t="s">
        <v>148</v>
      </c>
      <c r="H1221" s="76" t="s">
        <v>2245</v>
      </c>
      <c r="I1221" s="76" t="s">
        <v>148</v>
      </c>
      <c r="J1221" s="76"/>
      <c r="K1221" s="76"/>
      <c r="L1221" s="76"/>
      <c r="M1221" s="76"/>
      <c r="N1221" s="76"/>
    </row>
    <row r="1222" spans="2:14" hidden="1">
      <c r="B1222" s="76"/>
      <c r="C1222" s="76"/>
      <c r="D1222" s="76" t="s">
        <v>2404</v>
      </c>
      <c r="E1222" s="76" t="s">
        <v>2165</v>
      </c>
      <c r="F1222" s="76"/>
      <c r="G1222" s="76" t="s">
        <v>2476</v>
      </c>
      <c r="H1222" s="76" t="s">
        <v>2245</v>
      </c>
      <c r="I1222" s="76" t="s">
        <v>2476</v>
      </c>
      <c r="J1222" s="76"/>
      <c r="K1222" s="76"/>
      <c r="L1222" s="76"/>
      <c r="M1222" s="76"/>
      <c r="N1222" s="76"/>
    </row>
    <row r="1223" spans="2:14" hidden="1">
      <c r="B1223" s="76"/>
      <c r="C1223" s="76"/>
      <c r="D1223" s="76" t="s">
        <v>2403</v>
      </c>
      <c r="E1223" s="76" t="s">
        <v>2164</v>
      </c>
      <c r="F1223" s="76"/>
      <c r="G1223" s="76" t="s">
        <v>150</v>
      </c>
      <c r="H1223" s="76" t="s">
        <v>2245</v>
      </c>
      <c r="I1223" s="76" t="s">
        <v>150</v>
      </c>
      <c r="J1223" s="76"/>
      <c r="K1223" s="76"/>
      <c r="L1223" s="76"/>
      <c r="M1223" s="76"/>
      <c r="N1223" s="76"/>
    </row>
    <row r="1224" spans="2:14" hidden="1">
      <c r="B1224" s="76"/>
      <c r="C1224" s="76"/>
      <c r="D1224" s="76" t="s">
        <v>2243</v>
      </c>
      <c r="E1224" s="76" t="s">
        <v>2004</v>
      </c>
      <c r="F1224" s="76"/>
      <c r="G1224" s="76" t="s">
        <v>1793</v>
      </c>
      <c r="H1224" s="76" t="s">
        <v>2245</v>
      </c>
      <c r="I1224" s="76" t="s">
        <v>1793</v>
      </c>
      <c r="J1224" s="76"/>
      <c r="K1224" s="76"/>
      <c r="L1224" s="76"/>
      <c r="M1224" s="76"/>
      <c r="N1224" s="76"/>
    </row>
    <row r="1225" spans="2:14" hidden="1">
      <c r="B1225" s="76"/>
      <c r="C1225" s="76"/>
      <c r="D1225" s="76" t="s">
        <v>2406</v>
      </c>
      <c r="E1225" s="76" t="s">
        <v>2167</v>
      </c>
      <c r="F1225" s="76"/>
      <c r="G1225" s="76" t="s">
        <v>1794</v>
      </c>
      <c r="H1225" s="76" t="s">
        <v>2353</v>
      </c>
      <c r="I1225" s="76" t="s">
        <v>1794</v>
      </c>
      <c r="J1225" s="76"/>
      <c r="K1225" s="76"/>
      <c r="L1225" s="76"/>
      <c r="M1225" s="76"/>
      <c r="N1225" s="76"/>
    </row>
    <row r="1226" spans="2:14" hidden="1">
      <c r="B1226" s="76"/>
      <c r="C1226" s="76"/>
      <c r="D1226" s="76" t="s">
        <v>2420</v>
      </c>
      <c r="E1226" s="76" t="s">
        <v>2181</v>
      </c>
      <c r="F1226" s="76"/>
      <c r="G1226" s="76" t="s">
        <v>905</v>
      </c>
      <c r="H1226" s="76" t="s">
        <v>2353</v>
      </c>
      <c r="I1226" s="76" t="s">
        <v>1794</v>
      </c>
      <c r="J1226" s="76"/>
      <c r="K1226" s="76"/>
      <c r="L1226" s="76"/>
      <c r="M1226" s="76"/>
      <c r="N1226" s="76"/>
    </row>
    <row r="1227" spans="2:14" hidden="1">
      <c r="B1227" s="76"/>
      <c r="C1227" s="76"/>
      <c r="D1227" s="76" t="s">
        <v>2411</v>
      </c>
      <c r="E1227" s="76" t="s">
        <v>2172</v>
      </c>
      <c r="F1227" s="76"/>
      <c r="G1227" s="107" t="s">
        <v>37</v>
      </c>
      <c r="H1227" s="76" t="s">
        <v>2302</v>
      </c>
      <c r="I1227" s="76" t="s">
        <v>2616</v>
      </c>
      <c r="J1227" s="76"/>
      <c r="K1227" s="76"/>
      <c r="L1227" s="76"/>
      <c r="M1227" s="76"/>
      <c r="N1227" s="76"/>
    </row>
    <row r="1228" spans="2:14" hidden="1">
      <c r="B1228" s="76"/>
      <c r="C1228" s="76"/>
      <c r="D1228" s="76" t="s">
        <v>2421</v>
      </c>
      <c r="E1228" s="76" t="s">
        <v>2182</v>
      </c>
      <c r="F1228" s="76"/>
      <c r="G1228" s="76" t="s">
        <v>1795</v>
      </c>
      <c r="H1228" s="76" t="s">
        <v>2222</v>
      </c>
      <c r="I1228" s="76" t="s">
        <v>1795</v>
      </c>
      <c r="J1228" s="76"/>
      <c r="K1228" s="76"/>
      <c r="L1228" s="76"/>
      <c r="M1228" s="76"/>
      <c r="N1228" s="76"/>
    </row>
    <row r="1229" spans="2:14" hidden="1">
      <c r="B1229" s="76"/>
      <c r="C1229" s="76"/>
      <c r="D1229" s="76" t="s">
        <v>2410</v>
      </c>
      <c r="E1229" s="76" t="s">
        <v>2171</v>
      </c>
      <c r="F1229" s="76"/>
      <c r="G1229" s="76" t="s">
        <v>2619</v>
      </c>
      <c r="H1229" s="76" t="s">
        <v>2234</v>
      </c>
      <c r="I1229" s="76" t="s">
        <v>2619</v>
      </c>
      <c r="J1229" s="76"/>
      <c r="K1229" s="76"/>
      <c r="L1229" s="76"/>
      <c r="M1229" s="76"/>
      <c r="N1229" s="76"/>
    </row>
    <row r="1230" spans="2:14" hidden="1">
      <c r="B1230" s="76"/>
      <c r="C1230" s="76"/>
      <c r="D1230" s="76" t="s">
        <v>2409</v>
      </c>
      <c r="E1230" s="76" t="s">
        <v>2170</v>
      </c>
      <c r="F1230" s="76"/>
      <c r="G1230" s="76" t="s">
        <v>64</v>
      </c>
      <c r="H1230" s="76" t="s">
        <v>2245</v>
      </c>
      <c r="I1230" s="76" t="s">
        <v>61</v>
      </c>
      <c r="J1230" s="76"/>
      <c r="K1230" s="76"/>
      <c r="L1230" s="76"/>
      <c r="M1230" s="76"/>
      <c r="N1230" s="76"/>
    </row>
    <row r="1231" spans="2:14" hidden="1">
      <c r="B1231" s="76"/>
      <c r="C1231" s="76"/>
      <c r="D1231" s="76" t="s">
        <v>2412</v>
      </c>
      <c r="E1231" s="76" t="s">
        <v>2173</v>
      </c>
      <c r="F1231" s="76"/>
      <c r="G1231" s="76" t="s">
        <v>61</v>
      </c>
      <c r="H1231" s="76" t="s">
        <v>2245</v>
      </c>
      <c r="I1231" s="76" t="s">
        <v>61</v>
      </c>
      <c r="J1231" s="76"/>
      <c r="K1231" s="76"/>
      <c r="L1231" s="76"/>
      <c r="M1231" s="76"/>
      <c r="N1231" s="76"/>
    </row>
    <row r="1232" spans="2:14" hidden="1">
      <c r="B1232" s="76"/>
      <c r="C1232" s="76"/>
      <c r="D1232" s="76" t="s">
        <v>2415</v>
      </c>
      <c r="E1232" s="76" t="s">
        <v>2176</v>
      </c>
      <c r="F1232" s="76"/>
      <c r="G1232" s="76" t="s">
        <v>2620</v>
      </c>
      <c r="H1232" s="76" t="s">
        <v>2371</v>
      </c>
      <c r="I1232" s="76" t="s">
        <v>2620</v>
      </c>
      <c r="J1232" s="76"/>
      <c r="K1232" s="76"/>
      <c r="L1232" s="76"/>
      <c r="M1232" s="76"/>
      <c r="N1232" s="76"/>
    </row>
    <row r="1233" spans="2:14" hidden="1">
      <c r="B1233" s="76"/>
      <c r="C1233" s="76"/>
      <c r="D1233" s="76" t="s">
        <v>2416</v>
      </c>
      <c r="E1233" s="76" t="s">
        <v>2177</v>
      </c>
      <c r="F1233" s="76"/>
      <c r="G1233" s="76" t="s">
        <v>909</v>
      </c>
      <c r="H1233" s="76" t="s">
        <v>2371</v>
      </c>
      <c r="I1233" s="76" t="s">
        <v>2620</v>
      </c>
      <c r="J1233" s="76"/>
      <c r="K1233" s="76"/>
      <c r="L1233" s="76"/>
      <c r="M1233" s="76"/>
      <c r="N1233" s="76"/>
    </row>
    <row r="1234" spans="2:14" hidden="1">
      <c r="B1234" s="76"/>
      <c r="C1234" s="76"/>
      <c r="D1234" s="76" t="s">
        <v>2417</v>
      </c>
      <c r="E1234" s="76" t="s">
        <v>2178</v>
      </c>
      <c r="F1234" s="76"/>
      <c r="G1234" s="76" t="s">
        <v>911</v>
      </c>
      <c r="H1234" s="76" t="s">
        <v>2371</v>
      </c>
      <c r="I1234" s="76" t="s">
        <v>2620</v>
      </c>
      <c r="J1234" s="76"/>
      <c r="K1234" s="76"/>
      <c r="L1234" s="76"/>
      <c r="M1234" s="76"/>
      <c r="N1234" s="76"/>
    </row>
    <row r="1235" spans="2:14" hidden="1">
      <c r="B1235" s="76"/>
      <c r="C1235" s="76"/>
      <c r="D1235" s="76" t="s">
        <v>2418</v>
      </c>
      <c r="E1235" s="76" t="s">
        <v>2179</v>
      </c>
      <c r="F1235" s="76"/>
      <c r="G1235" s="76" t="s">
        <v>136</v>
      </c>
      <c r="H1235" s="76" t="s">
        <v>2313</v>
      </c>
      <c r="I1235" s="76" t="s">
        <v>39</v>
      </c>
      <c r="J1235" s="76"/>
      <c r="K1235" s="76"/>
      <c r="L1235" s="76"/>
      <c r="M1235" s="76"/>
      <c r="N1235" s="76"/>
    </row>
    <row r="1236" spans="2:14" hidden="1">
      <c r="B1236" s="76"/>
      <c r="C1236" s="76"/>
      <c r="D1236" s="76" t="s">
        <v>2413</v>
      </c>
      <c r="E1236" s="76" t="s">
        <v>2174</v>
      </c>
      <c r="F1236" s="76"/>
      <c r="G1236" s="76" t="s">
        <v>904</v>
      </c>
      <c r="H1236" s="76" t="s">
        <v>2353</v>
      </c>
      <c r="I1236" s="76" t="s">
        <v>1794</v>
      </c>
      <c r="J1236" s="76"/>
      <c r="K1236" s="76"/>
      <c r="L1236" s="76"/>
      <c r="M1236" s="76"/>
      <c r="N1236" s="76"/>
    </row>
    <row r="1237" spans="2:14" hidden="1">
      <c r="B1237" s="76"/>
      <c r="C1237" s="76"/>
      <c r="D1237" s="76" t="s">
        <v>2407</v>
      </c>
      <c r="E1237" s="76" t="s">
        <v>2168</v>
      </c>
      <c r="F1237" s="76"/>
      <c r="G1237" s="76" t="s">
        <v>138</v>
      </c>
      <c r="H1237" s="76" t="s">
        <v>2384</v>
      </c>
      <c r="I1237" s="76" t="s">
        <v>139</v>
      </c>
      <c r="J1237" s="76"/>
      <c r="K1237" s="76"/>
      <c r="L1237" s="76"/>
      <c r="M1237" s="76"/>
      <c r="N1237" s="76"/>
    </row>
    <row r="1238" spans="2:14" hidden="1">
      <c r="B1238" s="76"/>
      <c r="C1238" s="76"/>
      <c r="D1238" s="76" t="s">
        <v>2419</v>
      </c>
      <c r="E1238" s="76" t="s">
        <v>2180</v>
      </c>
      <c r="F1238" s="76"/>
      <c r="G1238" s="76" t="s">
        <v>1796</v>
      </c>
      <c r="H1238" s="76" t="s">
        <v>2233</v>
      </c>
      <c r="I1238" s="76" t="s">
        <v>1796</v>
      </c>
      <c r="J1238" s="76"/>
      <c r="K1238" s="76"/>
      <c r="L1238" s="76"/>
      <c r="M1238" s="76"/>
      <c r="N1238" s="76"/>
    </row>
    <row r="1239" spans="2:14" hidden="1">
      <c r="B1239" s="76"/>
      <c r="C1239" s="76"/>
      <c r="D1239" s="76" t="s">
        <v>2422</v>
      </c>
      <c r="E1239" s="76" t="s">
        <v>2183</v>
      </c>
      <c r="F1239" s="76"/>
      <c r="G1239" s="76" t="s">
        <v>907</v>
      </c>
      <c r="H1239" s="76" t="s">
        <v>2234</v>
      </c>
      <c r="I1239" s="76" t="s">
        <v>2619</v>
      </c>
      <c r="J1239" s="76"/>
      <c r="K1239" s="76"/>
      <c r="L1239" s="76"/>
      <c r="M1239" s="76"/>
      <c r="N1239" s="76"/>
    </row>
    <row r="1240" spans="2:14" hidden="1">
      <c r="B1240" s="76"/>
      <c r="C1240" s="76"/>
      <c r="D1240" s="76" t="s">
        <v>2423</v>
      </c>
      <c r="E1240" s="76" t="s">
        <v>2184</v>
      </c>
      <c r="F1240" s="76"/>
      <c r="G1240" s="76" t="s">
        <v>1797</v>
      </c>
      <c r="H1240" s="76" t="s">
        <v>2302</v>
      </c>
      <c r="I1240" s="76" t="s">
        <v>1797</v>
      </c>
      <c r="J1240" s="76"/>
      <c r="K1240" s="76"/>
      <c r="L1240" s="76"/>
      <c r="M1240" s="76"/>
      <c r="N1240" s="76"/>
    </row>
    <row r="1241" spans="2:14" hidden="1">
      <c r="B1241" s="76"/>
      <c r="C1241" s="76"/>
      <c r="D1241" s="76" t="s">
        <v>2211</v>
      </c>
      <c r="E1241" s="76" t="s">
        <v>1972</v>
      </c>
      <c r="F1241" s="76"/>
      <c r="G1241" s="76" t="s">
        <v>1798</v>
      </c>
      <c r="H1241" s="76" t="s">
        <v>2302</v>
      </c>
      <c r="I1241" s="76" t="s">
        <v>1798</v>
      </c>
      <c r="J1241" s="76"/>
      <c r="K1241" s="76"/>
      <c r="L1241" s="76"/>
      <c r="M1241" s="76"/>
      <c r="N1241" s="76"/>
    </row>
    <row r="1242" spans="2:14" hidden="1">
      <c r="B1242" s="76"/>
      <c r="C1242" s="76"/>
      <c r="D1242" s="76" t="s">
        <v>2280</v>
      </c>
      <c r="E1242" s="76" t="s">
        <v>2041</v>
      </c>
      <c r="F1242" s="76"/>
      <c r="G1242" s="76" t="s">
        <v>1799</v>
      </c>
      <c r="H1242" s="76" t="s">
        <v>2302</v>
      </c>
      <c r="I1242" s="76" t="s">
        <v>1799</v>
      </c>
      <c r="J1242" s="76"/>
      <c r="K1242" s="76"/>
      <c r="L1242" s="76"/>
      <c r="M1242" s="76"/>
      <c r="N1242" s="76"/>
    </row>
    <row r="1243" spans="2:14" hidden="1">
      <c r="B1243" s="76"/>
      <c r="C1243" s="76"/>
      <c r="D1243" s="76" t="s">
        <v>2426</v>
      </c>
      <c r="E1243" s="76" t="s">
        <v>2187</v>
      </c>
      <c r="F1243" s="76"/>
      <c r="G1243" s="76" t="s">
        <v>1800</v>
      </c>
      <c r="H1243" s="76" t="s">
        <v>2302</v>
      </c>
      <c r="I1243" s="76" t="s">
        <v>1800</v>
      </c>
      <c r="J1243" s="76"/>
      <c r="K1243" s="76"/>
      <c r="L1243" s="76"/>
      <c r="M1243" s="76"/>
      <c r="N1243" s="76"/>
    </row>
    <row r="1244" spans="2:14" hidden="1">
      <c r="B1244" s="76"/>
      <c r="C1244" s="76"/>
      <c r="D1244" s="76" t="s">
        <v>2424</v>
      </c>
      <c r="E1244" s="76" t="s">
        <v>2185</v>
      </c>
      <c r="F1244" s="76"/>
      <c r="G1244" s="76" t="s">
        <v>2478</v>
      </c>
      <c r="H1244" s="76" t="s">
        <v>2302</v>
      </c>
      <c r="I1244" s="76" t="s">
        <v>2478</v>
      </c>
      <c r="J1244" s="76"/>
      <c r="K1244" s="76"/>
      <c r="L1244" s="76"/>
      <c r="M1244" s="76"/>
      <c r="N1244" s="76"/>
    </row>
    <row r="1245" spans="2:14" hidden="1">
      <c r="B1245" s="76"/>
      <c r="C1245" s="76"/>
      <c r="D1245" s="76" t="s">
        <v>2425</v>
      </c>
      <c r="E1245" s="76" t="s">
        <v>2186</v>
      </c>
      <c r="F1245" s="76"/>
      <c r="G1245" s="76" t="s">
        <v>2479</v>
      </c>
      <c r="H1245" s="76" t="s">
        <v>2302</v>
      </c>
      <c r="I1245" s="76" t="s">
        <v>2479</v>
      </c>
      <c r="J1245" s="76"/>
      <c r="K1245" s="76"/>
      <c r="L1245" s="76"/>
      <c r="M1245" s="76"/>
      <c r="N1245" s="76"/>
    </row>
    <row r="1246" spans="2:14" hidden="1">
      <c r="B1246" s="76"/>
      <c r="C1246" s="76"/>
      <c r="D1246" s="76" t="s">
        <v>2427</v>
      </c>
      <c r="E1246" s="76" t="s">
        <v>2188</v>
      </c>
      <c r="F1246" s="76"/>
      <c r="G1246" s="76" t="s">
        <v>2480</v>
      </c>
      <c r="H1246" s="76" t="s">
        <v>2302</v>
      </c>
      <c r="I1246" s="76" t="s">
        <v>2480</v>
      </c>
      <c r="J1246" s="76"/>
      <c r="K1246" s="76"/>
      <c r="L1246" s="76"/>
      <c r="M1246" s="76"/>
      <c r="N1246" s="76"/>
    </row>
    <row r="1247" spans="2:14" hidden="1">
      <c r="B1247" s="76"/>
      <c r="C1247" s="76"/>
      <c r="D1247" s="76" t="s">
        <v>2434</v>
      </c>
      <c r="E1247" s="76" t="s">
        <v>2195</v>
      </c>
      <c r="F1247" s="76"/>
      <c r="G1247" s="76" t="s">
        <v>2481</v>
      </c>
      <c r="H1247" s="76" t="s">
        <v>2302</v>
      </c>
      <c r="I1247" s="76" t="s">
        <v>2481</v>
      </c>
      <c r="J1247" s="76"/>
      <c r="K1247" s="76"/>
      <c r="L1247" s="76"/>
      <c r="M1247" s="76"/>
      <c r="N1247" s="76"/>
    </row>
    <row r="1248" spans="2:14" hidden="1">
      <c r="B1248" s="76"/>
      <c r="C1248" s="76"/>
      <c r="D1248" s="76" t="s">
        <v>2428</v>
      </c>
      <c r="E1248" s="76" t="s">
        <v>2189</v>
      </c>
      <c r="F1248" s="76"/>
      <c r="G1248" s="76" t="s">
        <v>2482</v>
      </c>
      <c r="H1248" s="76" t="s">
        <v>2302</v>
      </c>
      <c r="I1248" s="76" t="s">
        <v>2482</v>
      </c>
      <c r="J1248" s="76"/>
      <c r="K1248" s="76"/>
      <c r="L1248" s="76"/>
      <c r="M1248" s="76"/>
      <c r="N1248" s="76"/>
    </row>
    <row r="1249" spans="2:14" hidden="1">
      <c r="B1249" s="76"/>
      <c r="C1249" s="76"/>
      <c r="D1249" s="76" t="s">
        <v>2430</v>
      </c>
      <c r="E1249" s="76" t="s">
        <v>2191</v>
      </c>
      <c r="F1249" s="76"/>
      <c r="G1249" s="76" t="s">
        <v>2483</v>
      </c>
      <c r="H1249" s="76" t="s">
        <v>2302</v>
      </c>
      <c r="I1249" s="76" t="s">
        <v>2483</v>
      </c>
      <c r="J1249" s="76"/>
      <c r="K1249" s="76"/>
      <c r="L1249" s="76"/>
      <c r="M1249" s="76"/>
      <c r="N1249" s="76"/>
    </row>
    <row r="1250" spans="2:14" hidden="1">
      <c r="B1250" s="76"/>
      <c r="C1250" s="76"/>
      <c r="D1250" s="76" t="s">
        <v>2433</v>
      </c>
      <c r="E1250" s="76" t="s">
        <v>2194</v>
      </c>
      <c r="F1250" s="76"/>
      <c r="G1250" s="76" t="s">
        <v>2484</v>
      </c>
      <c r="H1250" s="76" t="s">
        <v>2302</v>
      </c>
      <c r="I1250" s="76" t="s">
        <v>2484</v>
      </c>
      <c r="J1250" s="76"/>
      <c r="K1250" s="76"/>
      <c r="L1250" s="76"/>
      <c r="M1250" s="76"/>
      <c r="N1250" s="76"/>
    </row>
    <row r="1251" spans="2:14" hidden="1">
      <c r="B1251" s="76"/>
      <c r="C1251" s="76"/>
      <c r="D1251" s="76" t="s">
        <v>2431</v>
      </c>
      <c r="E1251" s="76" t="s">
        <v>2192</v>
      </c>
      <c r="F1251" s="76"/>
      <c r="G1251" s="76" t="s">
        <v>2485</v>
      </c>
      <c r="H1251" s="76" t="s">
        <v>2302</v>
      </c>
      <c r="I1251" s="76" t="s">
        <v>2485</v>
      </c>
      <c r="J1251" s="76"/>
      <c r="K1251" s="76"/>
      <c r="L1251" s="76"/>
      <c r="M1251" s="76"/>
      <c r="N1251" s="76"/>
    </row>
    <row r="1252" spans="2:14" hidden="1">
      <c r="B1252" s="76"/>
      <c r="C1252" s="76"/>
      <c r="D1252" s="76" t="s">
        <v>2432</v>
      </c>
      <c r="E1252" s="76" t="s">
        <v>2193</v>
      </c>
      <c r="F1252" s="76"/>
      <c r="G1252" s="76" t="s">
        <v>2486</v>
      </c>
      <c r="H1252" s="76" t="s">
        <v>2302</v>
      </c>
      <c r="I1252" s="76" t="s">
        <v>2486</v>
      </c>
      <c r="J1252" s="76"/>
      <c r="K1252" s="76"/>
      <c r="L1252" s="76"/>
      <c r="M1252" s="76"/>
      <c r="N1252" s="76"/>
    </row>
    <row r="1253" spans="2:14" hidden="1">
      <c r="B1253" s="76"/>
      <c r="C1253" s="76"/>
      <c r="D1253" s="76" t="s">
        <v>2435</v>
      </c>
      <c r="E1253" s="76" t="s">
        <v>2196</v>
      </c>
      <c r="F1253" s="76"/>
      <c r="G1253" s="76" t="s">
        <v>2487</v>
      </c>
      <c r="H1253" s="76" t="s">
        <v>2302</v>
      </c>
      <c r="I1253" s="76" t="s">
        <v>2487</v>
      </c>
      <c r="J1253" s="76"/>
      <c r="K1253" s="76"/>
      <c r="L1253" s="76"/>
      <c r="M1253" s="76"/>
      <c r="N1253" s="76"/>
    </row>
    <row r="1254" spans="2:14" hidden="1">
      <c r="B1254" s="76"/>
      <c r="C1254" s="76"/>
      <c r="D1254" s="76" t="s">
        <v>2268</v>
      </c>
      <c r="E1254" s="76" t="s">
        <v>2029</v>
      </c>
      <c r="F1254" s="76"/>
      <c r="G1254" s="76" t="s">
        <v>2488</v>
      </c>
      <c r="H1254" s="76" t="s">
        <v>2302</v>
      </c>
      <c r="I1254" s="76" t="s">
        <v>2488</v>
      </c>
      <c r="J1254" s="76"/>
      <c r="K1254" s="76"/>
      <c r="L1254" s="76"/>
      <c r="M1254" s="76"/>
      <c r="N1254" s="76"/>
    </row>
    <row r="1255" spans="2:14" hidden="1">
      <c r="B1255" s="76"/>
      <c r="C1255" s="76"/>
      <c r="D1255" s="76" t="s">
        <v>2437</v>
      </c>
      <c r="E1255" s="76" t="s">
        <v>2198</v>
      </c>
      <c r="F1255" s="76"/>
      <c r="G1255" s="76" t="s">
        <v>2489</v>
      </c>
      <c r="H1255" s="76" t="s">
        <v>2302</v>
      </c>
      <c r="I1255" s="76" t="s">
        <v>2489</v>
      </c>
      <c r="J1255" s="76"/>
      <c r="K1255" s="76"/>
      <c r="L1255" s="76"/>
      <c r="M1255" s="76"/>
      <c r="N1255" s="76"/>
    </row>
    <row r="1256" spans="2:14" hidden="1">
      <c r="B1256" s="76"/>
      <c r="C1256" s="76"/>
      <c r="D1256" s="76" t="s">
        <v>2438</v>
      </c>
      <c r="E1256" s="76" t="s">
        <v>2199</v>
      </c>
      <c r="F1256" s="76"/>
      <c r="G1256" s="76" t="s">
        <v>2490</v>
      </c>
      <c r="H1256" s="76" t="s">
        <v>2302</v>
      </c>
      <c r="I1256" s="76" t="s">
        <v>2490</v>
      </c>
      <c r="J1256" s="76"/>
      <c r="K1256" s="76"/>
      <c r="L1256" s="76"/>
      <c r="M1256" s="76"/>
      <c r="N1256" s="76"/>
    </row>
    <row r="1257" spans="2:14" hidden="1">
      <c r="B1257" s="76"/>
      <c r="C1257" s="76"/>
      <c r="D1257" s="76" t="s">
        <v>2440</v>
      </c>
      <c r="E1257" s="76" t="s">
        <v>2201</v>
      </c>
      <c r="F1257" s="76"/>
      <c r="G1257" s="76" t="s">
        <v>2491</v>
      </c>
      <c r="H1257" s="76" t="s">
        <v>2302</v>
      </c>
      <c r="I1257" s="76" t="s">
        <v>2491</v>
      </c>
      <c r="J1257" s="76"/>
      <c r="K1257" s="76"/>
      <c r="L1257" s="76"/>
      <c r="M1257" s="76"/>
      <c r="N1257" s="76"/>
    </row>
    <row r="1258" spans="2:14" hidden="1">
      <c r="B1258" s="76"/>
      <c r="C1258" s="76"/>
      <c r="D1258" s="76" t="s">
        <v>2441</v>
      </c>
      <c r="E1258" s="76" t="s">
        <v>2202</v>
      </c>
      <c r="F1258" s="76"/>
      <c r="G1258" s="76" t="s">
        <v>2492</v>
      </c>
      <c r="H1258" s="76" t="s">
        <v>2302</v>
      </c>
      <c r="I1258" s="76" t="s">
        <v>2492</v>
      </c>
      <c r="J1258" s="76"/>
      <c r="K1258" s="76"/>
      <c r="L1258" s="76"/>
      <c r="M1258" s="76"/>
      <c r="N1258" s="76"/>
    </row>
    <row r="1259" spans="2:14" hidden="1">
      <c r="B1259" s="76"/>
      <c r="C1259" s="76"/>
      <c r="D1259" s="76" t="s">
        <v>2442</v>
      </c>
      <c r="E1259" s="76" t="s">
        <v>2203</v>
      </c>
      <c r="F1259" s="76"/>
      <c r="G1259" s="76" t="s">
        <v>2616</v>
      </c>
      <c r="H1259" s="76" t="s">
        <v>2302</v>
      </c>
      <c r="I1259" s="76" t="s">
        <v>2616</v>
      </c>
      <c r="J1259" s="76"/>
      <c r="K1259" s="76"/>
      <c r="L1259" s="76"/>
      <c r="M1259" s="76"/>
      <c r="N1259" s="76"/>
    </row>
    <row r="1260" spans="2:14" hidden="1">
      <c r="B1260" s="76"/>
      <c r="C1260" s="76"/>
      <c r="D1260" s="76"/>
      <c r="E1260" s="76"/>
      <c r="F1260" s="76"/>
      <c r="G1260" s="76" t="s">
        <v>2617</v>
      </c>
      <c r="H1260" s="76" t="s">
        <v>2302</v>
      </c>
      <c r="I1260" s="76" t="s">
        <v>2617</v>
      </c>
      <c r="J1260" s="76"/>
      <c r="K1260" s="76"/>
      <c r="L1260" s="76"/>
      <c r="M1260" s="76"/>
      <c r="N1260" s="76"/>
    </row>
    <row r="1261" spans="2:14" hidden="1">
      <c r="B1261" s="76"/>
      <c r="C1261" s="76"/>
      <c r="D1261" s="76"/>
      <c r="E1261" s="76"/>
      <c r="F1261" s="76"/>
      <c r="G1261" s="76" t="s">
        <v>2493</v>
      </c>
      <c r="H1261" s="76" t="s">
        <v>2302</v>
      </c>
      <c r="I1261" s="76" t="s">
        <v>2493</v>
      </c>
      <c r="J1261" s="76"/>
      <c r="K1261" s="76"/>
      <c r="L1261" s="76"/>
      <c r="M1261" s="76"/>
      <c r="N1261" s="76"/>
    </row>
    <row r="1262" spans="2:14" hidden="1">
      <c r="B1262" s="76"/>
      <c r="C1262" s="76"/>
      <c r="D1262" s="76"/>
      <c r="E1262" s="76"/>
      <c r="F1262" s="76"/>
      <c r="G1262" s="76" t="s">
        <v>2494</v>
      </c>
      <c r="H1262" s="76" t="s">
        <v>2302</v>
      </c>
      <c r="I1262" s="76" t="s">
        <v>2494</v>
      </c>
      <c r="J1262" s="76"/>
      <c r="K1262" s="76"/>
      <c r="L1262" s="76"/>
      <c r="M1262" s="76"/>
      <c r="N1262" s="76"/>
    </row>
    <row r="1263" spans="2:14" hidden="1">
      <c r="B1263" s="76"/>
      <c r="C1263" s="76"/>
      <c r="D1263" s="76"/>
      <c r="E1263" s="76"/>
      <c r="F1263" s="76"/>
      <c r="G1263" s="76" t="s">
        <v>2495</v>
      </c>
      <c r="H1263" s="76" t="s">
        <v>2302</v>
      </c>
      <c r="I1263" s="76" t="s">
        <v>2495</v>
      </c>
      <c r="J1263" s="76"/>
      <c r="K1263" s="76"/>
      <c r="L1263" s="76"/>
      <c r="M1263" s="76"/>
      <c r="N1263" s="76"/>
    </row>
    <row r="1264" spans="2:14" hidden="1">
      <c r="G1264" s="76" t="s">
        <v>410</v>
      </c>
      <c r="H1264" s="76" t="s">
        <v>2245</v>
      </c>
      <c r="I1264" s="76" t="s">
        <v>2615</v>
      </c>
    </row>
    <row r="1265" spans="7:9" hidden="1">
      <c r="G1265" s="76" t="s">
        <v>906</v>
      </c>
      <c r="H1265" s="76" t="s">
        <v>2234</v>
      </c>
      <c r="I1265" s="76" t="s">
        <v>2619</v>
      </c>
    </row>
    <row r="1266" spans="7:9" hidden="1">
      <c r="G1266" s="76" t="s">
        <v>816</v>
      </c>
      <c r="H1266" s="76" t="s">
        <v>2410</v>
      </c>
      <c r="I1266" s="76" t="s">
        <v>2614</v>
      </c>
    </row>
    <row r="1267" spans="7:9" hidden="1">
      <c r="G1267" s="76" t="s">
        <v>2614</v>
      </c>
      <c r="H1267" s="76" t="s">
        <v>2410</v>
      </c>
      <c r="I1267" s="76" t="s">
        <v>2614</v>
      </c>
    </row>
    <row r="1268" spans="7:9" hidden="1">
      <c r="G1268" s="76" t="s">
        <v>913</v>
      </c>
      <c r="H1268" s="76" t="s">
        <v>2245</v>
      </c>
      <c r="I1268" s="76" t="s">
        <v>2615</v>
      </c>
    </row>
    <row r="1269" spans="7:9" hidden="1">
      <c r="G1269" s="76" t="s">
        <v>1801</v>
      </c>
      <c r="H1269" s="76" t="s">
        <v>2245</v>
      </c>
      <c r="I1269" s="76" t="s">
        <v>1801</v>
      </c>
    </row>
    <row r="1270" spans="7:9" hidden="1">
      <c r="G1270" s="76" t="s">
        <v>817</v>
      </c>
      <c r="H1270" s="76" t="s">
        <v>2245</v>
      </c>
      <c r="I1270" s="76" t="s">
        <v>1801</v>
      </c>
    </row>
    <row r="1271" spans="7:9" hidden="1">
      <c r="G1271" s="76" t="s">
        <v>2615</v>
      </c>
      <c r="H1271" s="76" t="s">
        <v>2245</v>
      </c>
      <c r="I1271" s="76" t="s">
        <v>2615</v>
      </c>
    </row>
    <row r="1272" spans="7:9" hidden="1">
      <c r="G1272" s="76" t="s">
        <v>914</v>
      </c>
      <c r="H1272" s="76" t="s">
        <v>2245</v>
      </c>
      <c r="I1272" s="76" t="s">
        <v>2615</v>
      </c>
    </row>
    <row r="1273" spans="7:9" hidden="1">
      <c r="G1273" s="95" t="s">
        <v>569</v>
      </c>
      <c r="H1273" s="76"/>
      <c r="I1273" s="76"/>
    </row>
    <row r="1274" spans="7:9" hidden="1">
      <c r="G1274" s="76" t="s">
        <v>915</v>
      </c>
      <c r="H1274" s="76" t="s">
        <v>2426</v>
      </c>
      <c r="I1274" s="76" t="s">
        <v>2612</v>
      </c>
    </row>
    <row r="1275" spans="7:9" hidden="1">
      <c r="G1275" s="76" t="s">
        <v>916</v>
      </c>
      <c r="H1275" s="76" t="s">
        <v>2426</v>
      </c>
      <c r="I1275" s="76" t="s">
        <v>2612</v>
      </c>
    </row>
    <row r="1276" spans="7:9" hidden="1">
      <c r="G1276" s="76" t="s">
        <v>917</v>
      </c>
      <c r="H1276" s="76" t="s">
        <v>2426</v>
      </c>
      <c r="I1276" s="76" t="s">
        <v>2612</v>
      </c>
    </row>
    <row r="1277" spans="7:9" hidden="1">
      <c r="G1277" s="76" t="s">
        <v>67</v>
      </c>
      <c r="H1277" s="76" t="s">
        <v>2245</v>
      </c>
      <c r="I1277" s="76" t="s">
        <v>67</v>
      </c>
    </row>
    <row r="1278" spans="7:9" hidden="1">
      <c r="G1278" s="76" t="s">
        <v>38</v>
      </c>
      <c r="H1278" s="76" t="s">
        <v>2245</v>
      </c>
      <c r="I1278" s="76" t="s">
        <v>38</v>
      </c>
    </row>
    <row r="1279" spans="7:9" hidden="1">
      <c r="G1279" s="76" t="s">
        <v>818</v>
      </c>
      <c r="H1279" s="76" t="s">
        <v>2245</v>
      </c>
      <c r="I1279" s="76" t="s">
        <v>38</v>
      </c>
    </row>
    <row r="1280" spans="7:9" hidden="1">
      <c r="G1280" s="76" t="s">
        <v>452</v>
      </c>
      <c r="H1280" s="76" t="s">
        <v>2426</v>
      </c>
      <c r="I1280" s="76" t="s">
        <v>452</v>
      </c>
    </row>
    <row r="1281" spans="7:9" hidden="1">
      <c r="G1281" s="76" t="s">
        <v>1811</v>
      </c>
      <c r="H1281" s="76" t="s">
        <v>2245</v>
      </c>
      <c r="I1281" s="76" t="s">
        <v>1811</v>
      </c>
    </row>
    <row r="1282" spans="7:9" hidden="1">
      <c r="G1282" s="76" t="s">
        <v>2618</v>
      </c>
      <c r="H1282" s="76" t="s">
        <v>2245</v>
      </c>
      <c r="I1282" s="76" t="s">
        <v>1811</v>
      </c>
    </row>
    <row r="1283" spans="7:9" hidden="1">
      <c r="G1283" s="76" t="s">
        <v>2467</v>
      </c>
      <c r="H1283" s="76" t="s">
        <v>2426</v>
      </c>
      <c r="I1283" s="76" t="s">
        <v>2467</v>
      </c>
    </row>
    <row r="1284" spans="7:9" hidden="1">
      <c r="G1284" s="76" t="s">
        <v>2612</v>
      </c>
      <c r="H1284" s="76" t="s">
        <v>2426</v>
      </c>
      <c r="I1284" s="76" t="s">
        <v>2612</v>
      </c>
    </row>
    <row r="1285" spans="7:9" hidden="1">
      <c r="G1285" s="76" t="s">
        <v>2468</v>
      </c>
      <c r="H1285" s="76" t="s">
        <v>2259</v>
      </c>
      <c r="I1285" s="76" t="s">
        <v>454</v>
      </c>
    </row>
    <row r="1286" spans="7:9" hidden="1">
      <c r="G1286" s="76" t="s">
        <v>454</v>
      </c>
      <c r="H1286" s="76" t="s">
        <v>2259</v>
      </c>
      <c r="I1286" s="76" t="s">
        <v>454</v>
      </c>
    </row>
    <row r="1287" spans="7:9" hidden="1">
      <c r="G1287" s="76" t="s">
        <v>458</v>
      </c>
      <c r="H1287" s="76" t="s">
        <v>2426</v>
      </c>
      <c r="I1287" s="76" t="s">
        <v>458</v>
      </c>
    </row>
    <row r="1288" spans="7:9" hidden="1">
      <c r="G1288" s="76" t="s">
        <v>144</v>
      </c>
      <c r="H1288" s="76" t="s">
        <v>2245</v>
      </c>
      <c r="I1288" s="76" t="s">
        <v>144</v>
      </c>
    </row>
    <row r="1289" spans="7:9" hidden="1">
      <c r="G1289" s="76" t="s">
        <v>41</v>
      </c>
      <c r="H1289" s="76" t="s">
        <v>2426</v>
      </c>
      <c r="I1289" s="76" t="s">
        <v>41</v>
      </c>
    </row>
    <row r="1290" spans="7:9" hidden="1">
      <c r="G1290" s="76" t="s">
        <v>455</v>
      </c>
      <c r="H1290" s="76" t="s">
        <v>2313</v>
      </c>
      <c r="I1290" s="76" t="s">
        <v>455</v>
      </c>
    </row>
    <row r="1291" spans="7:9" hidden="1">
      <c r="G1291" s="76" t="s">
        <v>918</v>
      </c>
      <c r="H1291" s="76" t="s">
        <v>2245</v>
      </c>
      <c r="I1291" s="76" t="s">
        <v>2609</v>
      </c>
    </row>
    <row r="1292" spans="7:9" hidden="1">
      <c r="G1292" s="76" t="s">
        <v>2609</v>
      </c>
      <c r="H1292" s="76" t="s">
        <v>2245</v>
      </c>
      <c r="I1292" s="76" t="s">
        <v>2609</v>
      </c>
    </row>
    <row r="1293" spans="7:9" hidden="1">
      <c r="G1293" s="76" t="s">
        <v>1813</v>
      </c>
      <c r="H1293" s="76" t="s">
        <v>2426</v>
      </c>
      <c r="I1293" s="76" t="s">
        <v>41</v>
      </c>
    </row>
    <row r="1294" spans="7:9" hidden="1">
      <c r="G1294" s="76" t="s">
        <v>919</v>
      </c>
      <c r="H1294" s="76" t="s">
        <v>2245</v>
      </c>
      <c r="I1294" s="76" t="s">
        <v>2609</v>
      </c>
    </row>
    <row r="1295" spans="7:9" hidden="1">
      <c r="G1295" s="76" t="s">
        <v>1814</v>
      </c>
      <c r="H1295" s="76" t="s">
        <v>2219</v>
      </c>
      <c r="I1295" s="76" t="s">
        <v>1814</v>
      </c>
    </row>
    <row r="1296" spans="7:9" hidden="1">
      <c r="G1296" s="76" t="s">
        <v>920</v>
      </c>
      <c r="H1296" s="76" t="s">
        <v>2219</v>
      </c>
      <c r="I1296" s="76" t="s">
        <v>1814</v>
      </c>
    </row>
    <row r="1297" spans="7:9" hidden="1">
      <c r="G1297" s="76" t="s">
        <v>921</v>
      </c>
      <c r="H1297" s="76" t="s">
        <v>2219</v>
      </c>
      <c r="I1297" s="76" t="s">
        <v>1814</v>
      </c>
    </row>
    <row r="1298" spans="7:9" hidden="1">
      <c r="G1298" s="76" t="s">
        <v>460</v>
      </c>
      <c r="H1298" s="76" t="s">
        <v>2245</v>
      </c>
      <c r="I1298" s="76" t="s">
        <v>460</v>
      </c>
    </row>
    <row r="1299" spans="7:9" hidden="1">
      <c r="G1299" s="76" t="s">
        <v>1815</v>
      </c>
      <c r="H1299" s="76" t="s">
        <v>2384</v>
      </c>
      <c r="I1299" s="76" t="s">
        <v>456</v>
      </c>
    </row>
    <row r="1300" spans="7:9" hidden="1">
      <c r="G1300" s="76" t="s">
        <v>456</v>
      </c>
      <c r="H1300" s="76" t="s">
        <v>2384</v>
      </c>
      <c r="I1300" s="76" t="s">
        <v>456</v>
      </c>
    </row>
    <row r="1301" spans="7:9" hidden="1">
      <c r="G1301" s="76" t="s">
        <v>938</v>
      </c>
      <c r="H1301" s="76" t="s">
        <v>2259</v>
      </c>
      <c r="I1301" s="76" t="s">
        <v>2468</v>
      </c>
    </row>
    <row r="1302" spans="7:9" hidden="1">
      <c r="G1302" s="76" t="s">
        <v>939</v>
      </c>
      <c r="H1302" s="76" t="s">
        <v>2259</v>
      </c>
      <c r="I1302" s="76" t="s">
        <v>2468</v>
      </c>
    </row>
    <row r="1303" spans="7:9" hidden="1">
      <c r="G1303" s="76" t="s">
        <v>465</v>
      </c>
      <c r="H1303" s="76" t="s">
        <v>2426</v>
      </c>
      <c r="I1303" s="76" t="s">
        <v>465</v>
      </c>
    </row>
    <row r="1304" spans="7:9" hidden="1">
      <c r="G1304" s="76" t="s">
        <v>2469</v>
      </c>
      <c r="H1304" s="76" t="s">
        <v>2314</v>
      </c>
      <c r="I1304" s="76" t="s">
        <v>2469</v>
      </c>
    </row>
    <row r="1305" spans="7:9" hidden="1">
      <c r="G1305" s="76" t="s">
        <v>457</v>
      </c>
      <c r="H1305" s="76" t="s">
        <v>2314</v>
      </c>
      <c r="I1305" s="76" t="s">
        <v>2469</v>
      </c>
    </row>
    <row r="1306" spans="7:9" hidden="1">
      <c r="G1306" s="76" t="s">
        <v>922</v>
      </c>
      <c r="H1306" s="76" t="s">
        <v>2245</v>
      </c>
      <c r="I1306" s="76" t="s">
        <v>2610</v>
      </c>
    </row>
    <row r="1307" spans="7:9" hidden="1">
      <c r="G1307" s="107" t="s">
        <v>2610</v>
      </c>
      <c r="H1307" s="76" t="s">
        <v>2245</v>
      </c>
      <c r="I1307" s="76" t="s">
        <v>2610</v>
      </c>
    </row>
    <row r="1308" spans="7:9" hidden="1">
      <c r="G1308" s="76" t="s">
        <v>923</v>
      </c>
      <c r="H1308" s="76" t="s">
        <v>2245</v>
      </c>
      <c r="I1308" s="76" t="s">
        <v>2610</v>
      </c>
    </row>
    <row r="1309" spans="7:9" hidden="1">
      <c r="G1309" s="95" t="s">
        <v>569</v>
      </c>
      <c r="H1309" s="76"/>
      <c r="I1309" s="76"/>
    </row>
    <row r="1310" spans="7:9" hidden="1">
      <c r="G1310" s="76" t="s">
        <v>93</v>
      </c>
      <c r="H1310" s="76" t="s">
        <v>2426</v>
      </c>
      <c r="I1310" s="76" t="s">
        <v>68</v>
      </c>
    </row>
    <row r="1311" spans="7:9" hidden="1">
      <c r="G1311" s="76" t="s">
        <v>94</v>
      </c>
      <c r="H1311" s="76" t="s">
        <v>2426</v>
      </c>
      <c r="I1311" s="76" t="s">
        <v>68</v>
      </c>
    </row>
    <row r="1312" spans="7:9" hidden="1">
      <c r="G1312" s="56" t="s">
        <v>92</v>
      </c>
      <c r="H1312" s="76" t="s">
        <v>2426</v>
      </c>
      <c r="I1312" s="76" t="s">
        <v>68</v>
      </c>
    </row>
    <row r="1313" spans="7:9" hidden="1">
      <c r="G1313" s="76" t="s">
        <v>95</v>
      </c>
      <c r="H1313" s="76" t="s">
        <v>2426</v>
      </c>
      <c r="I1313" s="76" t="s">
        <v>68</v>
      </c>
    </row>
    <row r="1314" spans="7:9" hidden="1">
      <c r="G1314" s="76" t="s">
        <v>96</v>
      </c>
      <c r="H1314" s="76" t="s">
        <v>2426</v>
      </c>
      <c r="I1314" s="76" t="s">
        <v>68</v>
      </c>
    </row>
    <row r="1315" spans="7:9" hidden="1">
      <c r="G1315" s="76" t="s">
        <v>97</v>
      </c>
      <c r="H1315" s="76" t="s">
        <v>2426</v>
      </c>
      <c r="I1315" s="76" t="s">
        <v>68</v>
      </c>
    </row>
    <row r="1316" spans="7:9" hidden="1">
      <c r="G1316" s="76" t="s">
        <v>1816</v>
      </c>
      <c r="H1316" s="76" t="s">
        <v>2426</v>
      </c>
      <c r="I1316" s="76" t="s">
        <v>68</v>
      </c>
    </row>
    <row r="1317" spans="7:9" hidden="1">
      <c r="G1317" s="76" t="s">
        <v>68</v>
      </c>
      <c r="H1317" s="76" t="s">
        <v>2426</v>
      </c>
      <c r="I1317" s="76" t="s">
        <v>68</v>
      </c>
    </row>
    <row r="1318" spans="7:9" hidden="1">
      <c r="G1318" s="76" t="s">
        <v>1817</v>
      </c>
      <c r="H1318" s="76" t="s">
        <v>2245</v>
      </c>
      <c r="I1318" s="76" t="s">
        <v>1817</v>
      </c>
    </row>
    <row r="1319" spans="7:9" hidden="1">
      <c r="G1319" s="76" t="s">
        <v>130</v>
      </c>
      <c r="H1319" s="76" t="s">
        <v>2245</v>
      </c>
      <c r="I1319" s="76" t="s">
        <v>89</v>
      </c>
    </row>
    <row r="1320" spans="7:9" hidden="1">
      <c r="G1320" s="76" t="s">
        <v>98</v>
      </c>
      <c r="H1320" s="76" t="s">
        <v>2245</v>
      </c>
      <c r="I1320" s="76" t="s">
        <v>79</v>
      </c>
    </row>
    <row r="1321" spans="7:9" hidden="1">
      <c r="G1321" s="76" t="s">
        <v>131</v>
      </c>
      <c r="H1321" s="76" t="s">
        <v>2245</v>
      </c>
      <c r="I1321" s="76" t="s">
        <v>89</v>
      </c>
    </row>
    <row r="1322" spans="7:9" hidden="1">
      <c r="G1322" s="76" t="s">
        <v>134</v>
      </c>
      <c r="H1322" s="76" t="s">
        <v>2245</v>
      </c>
      <c r="I1322" s="76" t="s">
        <v>71</v>
      </c>
    </row>
    <row r="1323" spans="7:9" hidden="1">
      <c r="G1323" s="76" t="s">
        <v>99</v>
      </c>
      <c r="H1323" s="76" t="s">
        <v>2245</v>
      </c>
      <c r="I1323" s="76" t="s">
        <v>71</v>
      </c>
    </row>
    <row r="1324" spans="7:9" hidden="1">
      <c r="G1324" s="76" t="s">
        <v>100</v>
      </c>
      <c r="H1324" s="76" t="s">
        <v>2245</v>
      </c>
      <c r="I1324" s="76" t="s">
        <v>71</v>
      </c>
    </row>
    <row r="1325" spans="7:9" hidden="1">
      <c r="G1325" s="76" t="s">
        <v>71</v>
      </c>
      <c r="H1325" s="76" t="s">
        <v>2245</v>
      </c>
      <c r="I1325" s="76" t="s">
        <v>71</v>
      </c>
    </row>
    <row r="1326" spans="7:9" hidden="1">
      <c r="G1326" s="76" t="s">
        <v>110</v>
      </c>
      <c r="H1326" s="76" t="s">
        <v>2245</v>
      </c>
      <c r="I1326" s="76" t="s">
        <v>145</v>
      </c>
    </row>
    <row r="1327" spans="7:9" hidden="1">
      <c r="G1327" s="76" t="s">
        <v>112</v>
      </c>
      <c r="H1327" s="76" t="s">
        <v>2245</v>
      </c>
      <c r="I1327" s="76" t="s">
        <v>145</v>
      </c>
    </row>
    <row r="1328" spans="7:9" hidden="1">
      <c r="G1328" s="76" t="s">
        <v>2474</v>
      </c>
      <c r="H1328" s="76" t="s">
        <v>2245</v>
      </c>
      <c r="I1328" s="76" t="s">
        <v>2474</v>
      </c>
    </row>
    <row r="1329" spans="7:9" hidden="1">
      <c r="G1329" s="76" t="s">
        <v>111</v>
      </c>
      <c r="H1329" s="76" t="s">
        <v>2245</v>
      </c>
      <c r="I1329" s="76" t="s">
        <v>145</v>
      </c>
    </row>
    <row r="1330" spans="7:9" hidden="1">
      <c r="G1330" s="76" t="s">
        <v>101</v>
      </c>
      <c r="H1330" s="76" t="s">
        <v>2245</v>
      </c>
      <c r="I1330" s="76" t="s">
        <v>71</v>
      </c>
    </row>
    <row r="1331" spans="7:9" hidden="1">
      <c r="G1331" s="76" t="s">
        <v>122</v>
      </c>
      <c r="H1331" s="76" t="s">
        <v>2245</v>
      </c>
      <c r="I1331" s="76" t="s">
        <v>82</v>
      </c>
    </row>
    <row r="1332" spans="7:9" hidden="1">
      <c r="G1332" s="76" t="s">
        <v>123</v>
      </c>
      <c r="H1332" s="76" t="s">
        <v>2245</v>
      </c>
      <c r="I1332" s="76" t="s">
        <v>82</v>
      </c>
    </row>
    <row r="1333" spans="7:9" hidden="1">
      <c r="G1333" s="76" t="s">
        <v>124</v>
      </c>
      <c r="H1333" s="76" t="s">
        <v>2245</v>
      </c>
      <c r="I1333" s="76" t="s">
        <v>82</v>
      </c>
    </row>
    <row r="1334" spans="7:9" hidden="1">
      <c r="G1334" s="76" t="s">
        <v>82</v>
      </c>
      <c r="H1334" s="76" t="s">
        <v>2245</v>
      </c>
      <c r="I1334" s="76" t="s">
        <v>82</v>
      </c>
    </row>
    <row r="1335" spans="7:9" hidden="1">
      <c r="G1335" s="76" t="s">
        <v>109</v>
      </c>
      <c r="H1335" s="76" t="s">
        <v>2245</v>
      </c>
      <c r="I1335" s="76" t="s">
        <v>145</v>
      </c>
    </row>
    <row r="1336" spans="7:9" hidden="1">
      <c r="G1336" s="76" t="s">
        <v>108</v>
      </c>
      <c r="H1336" s="76" t="s">
        <v>2245</v>
      </c>
      <c r="I1336" s="76" t="s">
        <v>145</v>
      </c>
    </row>
    <row r="1337" spans="7:9" hidden="1">
      <c r="G1337" s="76" t="s">
        <v>2470</v>
      </c>
      <c r="H1337" s="76" t="s">
        <v>2245</v>
      </c>
      <c r="I1337" s="76" t="s">
        <v>1819</v>
      </c>
    </row>
    <row r="1338" spans="7:9" hidden="1">
      <c r="G1338" s="76" t="s">
        <v>125</v>
      </c>
      <c r="H1338" s="76" t="s">
        <v>2245</v>
      </c>
      <c r="I1338" s="76" t="s">
        <v>82</v>
      </c>
    </row>
    <row r="1339" spans="7:9" hidden="1">
      <c r="G1339" s="76" t="s">
        <v>126</v>
      </c>
      <c r="H1339" s="76" t="s">
        <v>2245</v>
      </c>
      <c r="I1339" s="76" t="s">
        <v>82</v>
      </c>
    </row>
    <row r="1340" spans="7:9" hidden="1">
      <c r="G1340" s="76" t="s">
        <v>127</v>
      </c>
      <c r="H1340" s="76" t="s">
        <v>2245</v>
      </c>
      <c r="I1340" s="76" t="s">
        <v>82</v>
      </c>
    </row>
    <row r="1341" spans="7:9" hidden="1">
      <c r="G1341" s="76" t="s">
        <v>1818</v>
      </c>
      <c r="H1341" s="76" t="s">
        <v>2426</v>
      </c>
      <c r="I1341" s="76" t="s">
        <v>1818</v>
      </c>
    </row>
    <row r="1342" spans="7:9" hidden="1">
      <c r="G1342" s="76" t="s">
        <v>103</v>
      </c>
      <c r="H1342" s="76" t="s">
        <v>2426</v>
      </c>
      <c r="I1342" s="76" t="s">
        <v>1818</v>
      </c>
    </row>
    <row r="1343" spans="7:9" hidden="1">
      <c r="G1343" s="76" t="s">
        <v>924</v>
      </c>
      <c r="H1343" s="76" t="s">
        <v>2426</v>
      </c>
      <c r="I1343" s="76" t="s">
        <v>1818</v>
      </c>
    </row>
    <row r="1344" spans="7:9" hidden="1">
      <c r="G1344" s="76" t="s">
        <v>105</v>
      </c>
      <c r="H1344" s="76" t="s">
        <v>2259</v>
      </c>
      <c r="I1344" s="76" t="s">
        <v>2471</v>
      </c>
    </row>
    <row r="1345" spans="7:9" hidden="1">
      <c r="G1345" s="76" t="s">
        <v>135</v>
      </c>
      <c r="H1345" s="76" t="s">
        <v>2259</v>
      </c>
      <c r="I1345" s="76" t="s">
        <v>2471</v>
      </c>
    </row>
    <row r="1346" spans="7:9" hidden="1">
      <c r="G1346" s="76" t="s">
        <v>2471</v>
      </c>
      <c r="H1346" s="76" t="s">
        <v>2259</v>
      </c>
      <c r="I1346" s="76" t="s">
        <v>2471</v>
      </c>
    </row>
    <row r="1347" spans="7:9" hidden="1">
      <c r="G1347" s="76" t="s">
        <v>106</v>
      </c>
      <c r="H1347" s="76" t="s">
        <v>2259</v>
      </c>
      <c r="I1347" s="76" t="s">
        <v>2471</v>
      </c>
    </row>
    <row r="1348" spans="7:9" hidden="1">
      <c r="G1348" s="76" t="s">
        <v>89</v>
      </c>
      <c r="H1348" s="76" t="s">
        <v>2245</v>
      </c>
      <c r="I1348" s="76" t="s">
        <v>89</v>
      </c>
    </row>
    <row r="1349" spans="7:9" hidden="1">
      <c r="G1349" s="76" t="s">
        <v>85</v>
      </c>
      <c r="H1349" s="76" t="s">
        <v>2313</v>
      </c>
      <c r="I1349" s="76" t="s">
        <v>145</v>
      </c>
    </row>
    <row r="1350" spans="7:9" hidden="1">
      <c r="G1350" s="76" t="s">
        <v>128</v>
      </c>
      <c r="H1350" s="76" t="s">
        <v>2313</v>
      </c>
      <c r="I1350" s="76" t="s">
        <v>85</v>
      </c>
    </row>
    <row r="1351" spans="7:9" hidden="1">
      <c r="G1351" s="76" t="s">
        <v>1819</v>
      </c>
      <c r="H1351" s="76" t="s">
        <v>2245</v>
      </c>
      <c r="I1351" s="76" t="s">
        <v>1819</v>
      </c>
    </row>
    <row r="1352" spans="7:9" hidden="1">
      <c r="G1352" s="76" t="s">
        <v>133</v>
      </c>
      <c r="H1352" s="76" t="s">
        <v>2245</v>
      </c>
      <c r="I1352" s="76" t="s">
        <v>1819</v>
      </c>
    </row>
    <row r="1353" spans="7:9" hidden="1">
      <c r="G1353" s="76" t="s">
        <v>1820</v>
      </c>
      <c r="H1353" s="76" t="s">
        <v>2245</v>
      </c>
      <c r="I1353" s="76" t="s">
        <v>145</v>
      </c>
    </row>
    <row r="1354" spans="7:9" hidden="1">
      <c r="G1354" s="76" t="s">
        <v>113</v>
      </c>
      <c r="H1354" s="76" t="s">
        <v>2245</v>
      </c>
      <c r="I1354" s="76" t="s">
        <v>145</v>
      </c>
    </row>
    <row r="1355" spans="7:9" hidden="1">
      <c r="G1355" s="76" t="s">
        <v>107</v>
      </c>
      <c r="H1355" s="76" t="s">
        <v>2245</v>
      </c>
      <c r="I1355" s="76" t="s">
        <v>1819</v>
      </c>
    </row>
    <row r="1356" spans="7:9" hidden="1">
      <c r="G1356" s="76" t="s">
        <v>102</v>
      </c>
      <c r="H1356" s="76" t="s">
        <v>2245</v>
      </c>
      <c r="I1356" s="76" t="s">
        <v>71</v>
      </c>
    </row>
    <row r="1357" spans="7:9" hidden="1">
      <c r="G1357" s="76" t="s">
        <v>129</v>
      </c>
      <c r="H1357" s="76" t="s">
        <v>2313</v>
      </c>
      <c r="I1357" s="76" t="s">
        <v>85</v>
      </c>
    </row>
    <row r="1358" spans="7:9" hidden="1">
      <c r="G1358" s="76" t="s">
        <v>137</v>
      </c>
      <c r="H1358" s="76" t="s">
        <v>2313</v>
      </c>
      <c r="I1358" s="76" t="s">
        <v>85</v>
      </c>
    </row>
    <row r="1359" spans="7:9" hidden="1">
      <c r="G1359" s="76" t="s">
        <v>104</v>
      </c>
      <c r="H1359" s="76" t="s">
        <v>2426</v>
      </c>
      <c r="I1359" s="76" t="s">
        <v>1818</v>
      </c>
    </row>
    <row r="1360" spans="7:9" hidden="1">
      <c r="G1360" s="76" t="s">
        <v>140</v>
      </c>
      <c r="H1360" s="76" t="s">
        <v>2259</v>
      </c>
      <c r="I1360" s="76" t="s">
        <v>2471</v>
      </c>
    </row>
    <row r="1361" spans="7:9" hidden="1">
      <c r="G1361" s="76" t="s">
        <v>141</v>
      </c>
      <c r="H1361" s="76" t="s">
        <v>2259</v>
      </c>
      <c r="I1361" s="76" t="s">
        <v>2471</v>
      </c>
    </row>
    <row r="1362" spans="7:9" hidden="1">
      <c r="G1362" s="76" t="s">
        <v>155</v>
      </c>
      <c r="H1362" s="76" t="s">
        <v>156</v>
      </c>
      <c r="I1362" s="76" t="s">
        <v>154</v>
      </c>
    </row>
    <row r="1363" spans="7:9" hidden="1">
      <c r="G1363" s="76" t="s">
        <v>154</v>
      </c>
      <c r="H1363" s="76" t="s">
        <v>156</v>
      </c>
      <c r="I1363" s="76" t="s">
        <v>154</v>
      </c>
    </row>
    <row r="1364" spans="7:9" hidden="1">
      <c r="G1364" s="76" t="s">
        <v>76</v>
      </c>
      <c r="H1364" s="76" t="s">
        <v>2219</v>
      </c>
      <c r="I1364" s="76" t="s">
        <v>2472</v>
      </c>
    </row>
    <row r="1365" spans="7:9" hidden="1">
      <c r="G1365" s="76" t="s">
        <v>2472</v>
      </c>
      <c r="H1365" s="76" t="s">
        <v>2219</v>
      </c>
      <c r="I1365" s="76" t="s">
        <v>2472</v>
      </c>
    </row>
    <row r="1366" spans="7:9" hidden="1">
      <c r="G1366" s="76" t="s">
        <v>114</v>
      </c>
      <c r="H1366" s="76" t="s">
        <v>2384</v>
      </c>
      <c r="I1366" s="76" t="s">
        <v>2473</v>
      </c>
    </row>
    <row r="1367" spans="7:9" hidden="1">
      <c r="G1367" s="76" t="s">
        <v>2473</v>
      </c>
      <c r="H1367" s="76" t="s">
        <v>2384</v>
      </c>
      <c r="I1367" s="76" t="s">
        <v>2473</v>
      </c>
    </row>
    <row r="1368" spans="7:9" hidden="1">
      <c r="G1368" s="76" t="s">
        <v>115</v>
      </c>
      <c r="H1368" s="76" t="s">
        <v>2384</v>
      </c>
      <c r="I1368" s="76" t="s">
        <v>2473</v>
      </c>
    </row>
    <row r="1369" spans="7:9" hidden="1">
      <c r="G1369" s="76" t="s">
        <v>70</v>
      </c>
      <c r="H1369" s="76" t="s">
        <v>2245</v>
      </c>
      <c r="I1369" s="76" t="s">
        <v>1817</v>
      </c>
    </row>
    <row r="1370" spans="7:9" hidden="1">
      <c r="G1370" s="76" t="s">
        <v>116</v>
      </c>
      <c r="H1370" s="76" t="s">
        <v>2245</v>
      </c>
      <c r="I1370" s="76" t="s">
        <v>1821</v>
      </c>
    </row>
    <row r="1371" spans="7:9" hidden="1">
      <c r="G1371" s="76" t="s">
        <v>117</v>
      </c>
      <c r="H1371" s="76" t="s">
        <v>2245</v>
      </c>
      <c r="I1371" s="76" t="s">
        <v>1821</v>
      </c>
    </row>
    <row r="1372" spans="7:9" hidden="1">
      <c r="G1372" s="76" t="s">
        <v>118</v>
      </c>
      <c r="H1372" s="76" t="s">
        <v>2245</v>
      </c>
      <c r="I1372" s="76" t="s">
        <v>1821</v>
      </c>
    </row>
    <row r="1373" spans="7:9" hidden="1">
      <c r="G1373" s="76" t="s">
        <v>1821</v>
      </c>
      <c r="H1373" s="76" t="s">
        <v>2245</v>
      </c>
      <c r="I1373" s="76" t="s">
        <v>1821</v>
      </c>
    </row>
    <row r="1374" spans="7:9" hidden="1">
      <c r="G1374" s="76" t="s">
        <v>72</v>
      </c>
      <c r="H1374" s="76" t="s">
        <v>2245</v>
      </c>
      <c r="I1374" s="76" t="s">
        <v>2474</v>
      </c>
    </row>
    <row r="1375" spans="7:9" hidden="1">
      <c r="G1375" s="76" t="s">
        <v>119</v>
      </c>
      <c r="H1375" s="76" t="s">
        <v>2245</v>
      </c>
      <c r="I1375" s="76" t="s">
        <v>79</v>
      </c>
    </row>
    <row r="1376" spans="7:9" hidden="1">
      <c r="G1376" s="76" t="s">
        <v>142</v>
      </c>
      <c r="H1376" s="76" t="s">
        <v>2245</v>
      </c>
      <c r="I1376" s="76" t="s">
        <v>79</v>
      </c>
    </row>
    <row r="1377" spans="7:9" hidden="1">
      <c r="G1377" s="76" t="s">
        <v>143</v>
      </c>
      <c r="H1377" s="76" t="s">
        <v>2245</v>
      </c>
      <c r="I1377" s="76" t="s">
        <v>79</v>
      </c>
    </row>
    <row r="1378" spans="7:9" hidden="1">
      <c r="G1378" s="76" t="s">
        <v>120</v>
      </c>
      <c r="H1378" s="76" t="s">
        <v>2245</v>
      </c>
      <c r="I1378" s="76" t="s">
        <v>79</v>
      </c>
    </row>
    <row r="1379" spans="7:9" hidden="1">
      <c r="G1379" s="76" t="s">
        <v>79</v>
      </c>
      <c r="H1379" s="76" t="s">
        <v>2245</v>
      </c>
      <c r="I1379" s="76" t="s">
        <v>79</v>
      </c>
    </row>
  </sheetData>
  <sheetProtection password="C453" sheet="1" objects="1" scenarios="1" deleteRows="0"/>
  <dataConsolidate/>
  <customSheetViews>
    <customSheetView guid="{81CF54B1-70AB-4A68-BB72-21925B5D4874}" scale="75" fitToPage="1" hiddenColumns="1">
      <pane xSplit="10" ySplit="4" topLeftCell="K5" activePane="bottomRight" state="frozen"/>
      <selection pane="bottomRight" activeCell="D6" sqref="D6:D61"/>
      <pageMargins left="0.7" right="0.7" top="0.75" bottom="0.75" header="0.3" footer="0.3"/>
      <pageSetup orientation="portrait" r:id="rId1"/>
    </customSheetView>
  </customSheetViews>
  <mergeCells count="6">
    <mergeCell ref="A1:O1"/>
    <mergeCell ref="B1002:N1002"/>
    <mergeCell ref="I3:J3"/>
    <mergeCell ref="I2:N2"/>
    <mergeCell ref="A2:A4"/>
    <mergeCell ref="B2:D3"/>
  </mergeCells>
  <phoneticPr fontId="4" type="noConversion"/>
  <conditionalFormatting sqref="B5:B1001">
    <cfRule type="expression" dxfId="312" priority="87">
      <formula>IF(B5="",TRUE)</formula>
    </cfRule>
  </conditionalFormatting>
  <conditionalFormatting sqref="C5:C1001">
    <cfRule type="expression" dxfId="311" priority="72">
      <formula>IF(C5&lt;&gt;0,TRUE)</formula>
    </cfRule>
    <cfRule type="expression" dxfId="310" priority="73">
      <formula>IF(B5&lt;&gt;0,TRUE)</formula>
    </cfRule>
  </conditionalFormatting>
  <conditionalFormatting sqref="D5:D1001">
    <cfRule type="expression" dxfId="309" priority="69">
      <formula>IF(D5&lt;&gt;0,TRUE)</formula>
    </cfRule>
    <cfRule type="expression" dxfId="308" priority="71">
      <formula>IF(C5="Smelter Not Listed",TRUE)</formula>
    </cfRule>
  </conditionalFormatting>
  <conditionalFormatting sqref="E5:E1001">
    <cfRule type="expression" dxfId="307" priority="68">
      <formula>IF(E5&lt;&gt;0,TRUE)</formula>
    </cfRule>
    <cfRule type="expression" dxfId="306" priority="70">
      <formula>IF(C5="Smelter Not Listed",TRUE)</formula>
    </cfRule>
  </conditionalFormatting>
  <conditionalFormatting sqref="D5">
    <cfRule type="expression" dxfId="305" priority="66">
      <formula>IF(D5&lt;&gt;0,TRUE)</formula>
    </cfRule>
    <cfRule type="expression" dxfId="304" priority="67">
      <formula>IF(C5="Smelter Not Listed",TRUE)</formula>
    </cfRule>
  </conditionalFormatting>
  <conditionalFormatting sqref="D9">
    <cfRule type="expression" dxfId="303" priority="64">
      <formula>IF(D9&lt;&gt;0,TRUE)</formula>
    </cfRule>
    <cfRule type="expression" dxfId="302" priority="65">
      <formula>IF(C9="Smelter Not Listed",TRUE)</formula>
    </cfRule>
  </conditionalFormatting>
  <conditionalFormatting sqref="D11">
    <cfRule type="expression" dxfId="301" priority="62">
      <formula>IF(D11&lt;&gt;0,TRUE)</formula>
    </cfRule>
    <cfRule type="expression" dxfId="300" priority="63">
      <formula>IF(C11="Smelter Not Listed",TRUE)</formula>
    </cfRule>
  </conditionalFormatting>
  <conditionalFormatting sqref="D13">
    <cfRule type="expression" dxfId="299" priority="60">
      <formula>IF(D13&lt;&gt;0,TRUE)</formula>
    </cfRule>
    <cfRule type="expression" dxfId="298" priority="61">
      <formula>IF(C13="Smelter Not Listed",TRUE)</formula>
    </cfRule>
  </conditionalFormatting>
  <conditionalFormatting sqref="D18">
    <cfRule type="expression" dxfId="297" priority="58">
      <formula>IF(D18&lt;&gt;0,TRUE)</formula>
    </cfRule>
    <cfRule type="expression" dxfId="296" priority="59">
      <formula>IF(C18="Smelter Not Listed",TRUE)</formula>
    </cfRule>
  </conditionalFormatting>
  <conditionalFormatting sqref="D22:D23">
    <cfRule type="expression" dxfId="295" priority="56">
      <formula>IF(D22&lt;&gt;0,TRUE)</formula>
    </cfRule>
    <cfRule type="expression" dxfId="294" priority="57">
      <formula>IF(C22="Smelter Not Listed",TRUE)</formula>
    </cfRule>
  </conditionalFormatting>
  <conditionalFormatting sqref="D41">
    <cfRule type="expression" dxfId="293" priority="54">
      <formula>IF(D41&lt;&gt;0,TRUE)</formula>
    </cfRule>
    <cfRule type="expression" dxfId="292" priority="55">
      <formula>IF(C41="Smelter Not Listed",TRUE)</formula>
    </cfRule>
  </conditionalFormatting>
  <conditionalFormatting sqref="D56">
    <cfRule type="expression" dxfId="291" priority="52">
      <formula>IF(D56&lt;&gt;0,TRUE)</formula>
    </cfRule>
    <cfRule type="expression" dxfId="290" priority="53">
      <formula>IF(C56="Smelter Not Listed",TRUE)</formula>
    </cfRule>
  </conditionalFormatting>
  <conditionalFormatting sqref="D57">
    <cfRule type="expression" dxfId="289" priority="50">
      <formula>IF(D57&lt;&gt;0,TRUE)</formula>
    </cfRule>
    <cfRule type="expression" dxfId="288" priority="51">
      <formula>IF(C57="Smelter Not Listed",TRUE)</formula>
    </cfRule>
  </conditionalFormatting>
  <conditionalFormatting sqref="D67">
    <cfRule type="expression" dxfId="287" priority="48">
      <formula>IF(D67&lt;&gt;0,TRUE)</formula>
    </cfRule>
    <cfRule type="expression" dxfId="286" priority="49">
      <formula>IF(C67="Smelter Not Listed",TRUE)</formula>
    </cfRule>
  </conditionalFormatting>
  <conditionalFormatting sqref="D70">
    <cfRule type="expression" dxfId="285" priority="46">
      <formula>IF(D70&lt;&gt;0,TRUE)</formula>
    </cfRule>
    <cfRule type="expression" dxfId="284" priority="47">
      <formula>IF(C70="Smelter Not Listed",TRUE)</formula>
    </cfRule>
  </conditionalFormatting>
  <conditionalFormatting sqref="D74:D77">
    <cfRule type="expression" dxfId="283" priority="44">
      <formula>IF(D74&lt;&gt;0,TRUE)</formula>
    </cfRule>
    <cfRule type="expression" dxfId="282" priority="45">
      <formula>IF(C74="Smelter Not Listed",TRUE)</formula>
    </cfRule>
  </conditionalFormatting>
  <conditionalFormatting sqref="B80:B83">
    <cfRule type="expression" dxfId="281" priority="43">
      <formula>IF(B80="",TRUE)</formula>
    </cfRule>
  </conditionalFormatting>
  <conditionalFormatting sqref="D79:D82">
    <cfRule type="expression" dxfId="280" priority="41">
      <formula>IF(D79&lt;&gt;0,TRUE)</formula>
    </cfRule>
    <cfRule type="expression" dxfId="279" priority="42">
      <formula>IF(C79="Smelter Not Listed",TRUE)</formula>
    </cfRule>
  </conditionalFormatting>
  <conditionalFormatting sqref="D85">
    <cfRule type="expression" dxfId="278" priority="39">
      <formula>IF(D85&lt;&gt;0,TRUE)</formula>
    </cfRule>
    <cfRule type="expression" dxfId="277" priority="40">
      <formula>IF(C85="Smelter Not Listed",TRUE)</formula>
    </cfRule>
  </conditionalFormatting>
  <conditionalFormatting sqref="D90">
    <cfRule type="expression" dxfId="276" priority="37">
      <formula>IF(D90&lt;&gt;0,TRUE)</formula>
    </cfRule>
    <cfRule type="expression" dxfId="275" priority="38">
      <formula>IF(C90="Smelter Not Listed",TRUE)</formula>
    </cfRule>
  </conditionalFormatting>
  <conditionalFormatting sqref="D91">
    <cfRule type="expression" dxfId="274" priority="35">
      <formula>IF(D91&lt;&gt;0,TRUE)</formula>
    </cfRule>
    <cfRule type="expression" dxfId="273" priority="36">
      <formula>IF(C91="Smelter Not Listed",TRUE)</formula>
    </cfRule>
  </conditionalFormatting>
  <conditionalFormatting sqref="D93">
    <cfRule type="expression" dxfId="272" priority="33">
      <formula>IF(D93&lt;&gt;0,TRUE)</formula>
    </cfRule>
    <cfRule type="expression" dxfId="271" priority="34">
      <formula>IF(C93="Smelter Not Listed",TRUE)</formula>
    </cfRule>
  </conditionalFormatting>
  <conditionalFormatting sqref="D107">
    <cfRule type="expression" dxfId="270" priority="31">
      <formula>IF(D107&lt;&gt;0,TRUE)</formula>
    </cfRule>
    <cfRule type="expression" dxfId="269" priority="32">
      <formula>IF(C107="Smelter Not Listed",TRUE)</formula>
    </cfRule>
  </conditionalFormatting>
  <conditionalFormatting sqref="F114:N121">
    <cfRule type="expression" dxfId="268" priority="29">
      <formula>IF(F114&lt;&gt;0,TRUE)</formula>
    </cfRule>
    <cfRule type="expression" dxfId="267" priority="30">
      <formula>IF(E114="Smelter Not Listed",TRUE)</formula>
    </cfRule>
  </conditionalFormatting>
  <conditionalFormatting sqref="F122:J122">
    <cfRule type="expression" dxfId="266" priority="27">
      <formula>IF(F122&lt;&gt;0,TRUE)</formula>
    </cfRule>
    <cfRule type="expression" dxfId="265" priority="28">
      <formula>IF(E122="Smelter Not Listed",TRUE)</formula>
    </cfRule>
  </conditionalFormatting>
  <conditionalFormatting sqref="L122:N122">
    <cfRule type="expression" dxfId="264" priority="25">
      <formula>IF(L122&lt;&gt;0,TRUE)</formula>
    </cfRule>
    <cfRule type="expression" dxfId="263" priority="26">
      <formula>IF(K122="Smelter Not Listed",TRUE)</formula>
    </cfRule>
  </conditionalFormatting>
  <conditionalFormatting sqref="F123:N123">
    <cfRule type="expression" dxfId="262" priority="23">
      <formula>IF(F123&lt;&gt;0,TRUE)</formula>
    </cfRule>
    <cfRule type="expression" dxfId="261" priority="24">
      <formula>IF(E123="Smelter Not Listed",TRUE)</formula>
    </cfRule>
  </conditionalFormatting>
  <conditionalFormatting sqref="L123">
    <cfRule type="expression" dxfId="260" priority="21">
      <formula>IF(L123&lt;&gt;0,TRUE)</formula>
    </cfRule>
    <cfRule type="expression" dxfId="259" priority="22">
      <formula>IF(K123="Smelter Not Listed",TRUE)</formula>
    </cfRule>
  </conditionalFormatting>
  <conditionalFormatting sqref="F124:M124">
    <cfRule type="expression" dxfId="258" priority="19">
      <formula>IF(F124&lt;&gt;0,TRUE)</formula>
    </cfRule>
    <cfRule type="expression" dxfId="257" priority="20">
      <formula>IF(E124="Smelter Not Listed",TRUE)</formula>
    </cfRule>
  </conditionalFormatting>
  <conditionalFormatting sqref="B125">
    <cfRule type="expression" dxfId="256" priority="17">
      <formula>IF(B125&lt;&gt;0,TRUE)</formula>
    </cfRule>
    <cfRule type="expression" dxfId="255" priority="18">
      <formula>IF(A125="Smelter Not Listed",TRUE)</formula>
    </cfRule>
  </conditionalFormatting>
  <conditionalFormatting sqref="B124">
    <cfRule type="expression" dxfId="254" priority="15">
      <formula>IF(B124&lt;&gt;0,TRUE)</formula>
    </cfRule>
    <cfRule type="expression" dxfId="253" priority="16">
      <formula>IF(A124="Smelter Not Listed",TRUE)</formula>
    </cfRule>
  </conditionalFormatting>
  <conditionalFormatting sqref="F124:J124">
    <cfRule type="expression" dxfId="252" priority="13">
      <formula>IF(F124&lt;&gt;0,TRUE)</formula>
    </cfRule>
    <cfRule type="expression" dxfId="251" priority="14">
      <formula>IF(E124="Smelter Not Listed",TRUE)</formula>
    </cfRule>
  </conditionalFormatting>
  <conditionalFormatting sqref="F125:J125">
    <cfRule type="expression" dxfId="250" priority="11">
      <formula>IF(F125&lt;&gt;0,TRUE)</formula>
    </cfRule>
    <cfRule type="expression" dxfId="249" priority="12">
      <formula>IF(E125="Smelter Not Listed",TRUE)</formula>
    </cfRule>
  </conditionalFormatting>
  <conditionalFormatting sqref="F125:J125">
    <cfRule type="expression" dxfId="248" priority="9">
      <formula>IF(F125&lt;&gt;0,TRUE)</formula>
    </cfRule>
    <cfRule type="expression" dxfId="247" priority="10">
      <formula>IF(E125="Smelter Not Listed",TRUE)</formula>
    </cfRule>
  </conditionalFormatting>
  <conditionalFormatting sqref="F126:J126">
    <cfRule type="expression" dxfId="246" priority="7">
      <formula>IF(F126&lt;&gt;0,TRUE)</formula>
    </cfRule>
    <cfRule type="expression" dxfId="245" priority="8">
      <formula>IF(E126="Smelter Not Listed",TRUE)</formula>
    </cfRule>
  </conditionalFormatting>
  <conditionalFormatting sqref="F126:J126">
    <cfRule type="expression" dxfId="244" priority="5">
      <formula>IF(F126&lt;&gt;0,TRUE)</formula>
    </cfRule>
    <cfRule type="expression" dxfId="243" priority="6">
      <formula>IF(E126="Smelter Not Listed",TRUE)</formula>
    </cfRule>
  </conditionalFormatting>
  <conditionalFormatting sqref="I127:N130">
    <cfRule type="expression" dxfId="242" priority="3">
      <formula>IF(I127&lt;&gt;0,TRUE)</formula>
    </cfRule>
    <cfRule type="expression" dxfId="241" priority="4">
      <formula>IF(H127="Smelter Not Listed",TRUE)</formula>
    </cfRule>
  </conditionalFormatting>
  <conditionalFormatting sqref="I127:N130">
    <cfRule type="expression" dxfId="240" priority="1">
      <formula>IF(I127&lt;&gt;0,TRUE)</formula>
    </cfRule>
    <cfRule type="expression" dxfId="239" priority="2">
      <formula>IF(H127="Smelter Not Listed",TRUE)</formula>
    </cfRule>
  </conditionalFormatting>
  <dataValidations xWindow="2237" yWindow="825" count="5">
    <dataValidation type="list" allowBlank="1" showInputMessage="1" showErrorMessage="1" promptTitle="Dropdown field" prompt="Select from dropdown.  Do not enter free form text in this column" sqref="C5:C1001">
      <formula1>INDIRECT(B5)</formula1>
    </dataValidation>
    <dataValidation type="list" allowBlank="1" showInputMessage="1" showErrorMessage="1" sqref="B5:B1001">
      <formula1>Metal</formula1>
    </dataValidation>
    <dataValidation allowBlank="1" showErrorMessage="1" promptTitle="Known Smelter Selection" prompt="Select from the list of known smelters to enter a value.  If your smelter is not listed in this dropdown you may enter freeform text lower in the form in the free form section " sqref="D5:D1001"/>
    <dataValidation type="list" allowBlank="1" showInputMessage="1" showErrorMessage="1" sqref="K3">
      <formula1>"English, 中文 Chinese,日本語 Japanese,한국어 Korean, Français,Português,Deutsch,Español"</formula1>
    </dataValidation>
    <dataValidation type="list" allowBlank="1" showInputMessage="1" showErrorMessage="1" sqref="E5:E1001">
      <formula1>$D$1022:$D$1259</formula1>
    </dataValidation>
  </dataValidations>
  <hyperlinks>
    <hyperlink ref="I2" r:id="rId2" display="http://www.conflictfreesmelter.org/"/>
  </hyperlinks>
  <pageMargins left="0.7" right="0.7" top="0.75" bottom="0.75" header="0.3" footer="0.3"/>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dimension ref="A1:O441"/>
  <sheetViews>
    <sheetView zoomScale="80" zoomScaleNormal="80" workbookViewId="0">
      <pane ySplit="2" topLeftCell="A3" activePane="bottomLeft" state="frozen"/>
      <selection pane="bottomLeft" activeCell="B3" sqref="B3"/>
    </sheetView>
  </sheetViews>
  <sheetFormatPr baseColWidth="10" defaultColWidth="9" defaultRowHeight="12.75"/>
  <cols>
    <col min="2" max="2" width="61.75" bestFit="1" customWidth="1"/>
    <col min="3" max="3" width="21.875" customWidth="1"/>
    <col min="4" max="4" width="37.5" customWidth="1"/>
    <col min="5" max="5" width="25.75" customWidth="1"/>
    <col min="6" max="7" width="8.75" hidden="1" customWidth="1"/>
    <col min="8" max="10" width="27.125" hidden="1" customWidth="1"/>
    <col min="11" max="11" width="21.75" hidden="1" customWidth="1"/>
    <col min="12" max="15" width="8.75" hidden="1" customWidth="1"/>
  </cols>
  <sheetData>
    <row r="1" spans="1:15" ht="91.9" customHeight="1">
      <c r="A1" s="313" t="str">
        <f ca="1">IF(Declaration!$D$3="English",H2,IF(Declaration!$D$3="中文 Chinese",I2,IF(Declaration!$D$3="日本語 Japanese",J2,IF(Declaration!$D$3="한국어 Korean",K2,IF(Declaration!$D$3="Français",L2,IF(Declaration!$D$3="Português",M2,IF(Declaration!$D$3="Deutsch",N2,IF(Declaration!$D$3="Español",O2))))))))</f>
        <v>Note: The following list of smelter names does not represent the EICC-GeSI Conflict-Free Smelter (CFS) or all smelters worldwide.</v>
      </c>
      <c r="B1" s="313"/>
      <c r="C1" s="313"/>
      <c r="D1" s="313"/>
      <c r="H1" s="170" t="s">
        <v>1853</v>
      </c>
      <c r="I1" s="170" t="s">
        <v>1854</v>
      </c>
      <c r="J1" s="170" t="s">
        <v>1855</v>
      </c>
      <c r="K1" s="170" t="s">
        <v>1856</v>
      </c>
      <c r="L1" s="170" t="s">
        <v>1355</v>
      </c>
      <c r="M1" s="170" t="s">
        <v>1356</v>
      </c>
      <c r="N1" s="170" t="s">
        <v>1357</v>
      </c>
      <c r="O1" s="170" t="s">
        <v>1116</v>
      </c>
    </row>
    <row r="2" spans="1:15">
      <c r="A2" s="97" t="str">
        <f ca="1">IF(Declaration!$D$3="English",H4,IF(Declaration!$D$3="中文 Chinese",I4,IF(Declaration!$D$3="日本語 Japanese",J4,IF(Declaration!$D$3="한국어 Korean",K4,IF(Declaration!$D$3="Français",L4,IF(Declaration!$D$3="Português",M4,IF(Declaration!$D$3="Deutsch",N4,IF(Declaration!$D$3="Español",O4))))))))</f>
        <v>Metal</v>
      </c>
      <c r="B2" s="97" t="str">
        <f ca="1">IF(Declaration!$D$3="English",H5,IF(Declaration!$D$3="中文 Chinese",I6,IF(Declaration!$D$3="日本語 Japanese",J5,IF(Declaration!$D$3="한국어 Korean",K5,IF(Declaration!$D$3="Français",L5,IF(Declaration!$D$3="Português",M5,IF(Declaration!$D$3="Deutsch",N5,IF(Declaration!$D$3="Español",O5))))))))</f>
        <v>Standard Smelter Names</v>
      </c>
      <c r="C2" s="97" t="str">
        <f ca="1">IF(Declaration!$D$3="English",H6,IF(Declaration!$D$3="中文 Chinese",I6,IF(Declaration!$D$3="日本語 Japanese",J6,IF(Declaration!$D$3="한국어 Korean",K6,IF(Declaration!$D$3="Français",L6,IF(Declaration!$D$3="Português",M6,IF(Declaration!$D$3="Deutsch",N6,IF(Declaration!$D$3="Español",O6))))))))</f>
        <v>Known alias</v>
      </c>
      <c r="D2" s="97" t="str">
        <f ca="1">IF(Declaration!$D$3="English",H7,IF(Declaration!$D$3="中文 Chinese",I7,IF(Declaration!$D$3="日本語 Japanese",J7,IF(Declaration!$D$3="한국어 Korean",K7,IF(Declaration!$D$3="Français",L7,IF(Declaration!$D$3="Português",M7,IF(Declaration!$D$3="Deutsch",N7,IF(Declaration!$D$3="Español",O7))))))))</f>
        <v>Smelter Facility Location: Country</v>
      </c>
      <c r="E2" s="97" t="str">
        <f ca="1">IF(Declaration!$D$3="English",H3,IF(Declaration!$D$3="中文 Chinese",I3,IF(Declaration!$D$3="日本語 Japanese",J3,IF(Declaration!$D$3="한국어 Korean",K3,IF(Declaration!$D$3="Français",L3,IF(Declaration!$D$3="Português",M3,IF(Declaration!$D$3="Deutsch",N3,IF(Declaration!$D$3="Español",O3))))))))</f>
        <v>Smelter ID</v>
      </c>
      <c r="F2" s="2" t="s">
        <v>638</v>
      </c>
      <c r="G2" s="2" t="s">
        <v>639</v>
      </c>
      <c r="H2" s="163" t="s">
        <v>540</v>
      </c>
      <c r="I2" s="163" t="s">
        <v>541</v>
      </c>
      <c r="J2" s="163" t="s">
        <v>542</v>
      </c>
      <c r="K2" s="163" t="s">
        <v>17</v>
      </c>
      <c r="L2" s="163" t="s">
        <v>543</v>
      </c>
      <c r="M2" s="163" t="s">
        <v>544</v>
      </c>
      <c r="N2" s="163" t="s">
        <v>545</v>
      </c>
      <c r="O2" s="163" t="s">
        <v>546</v>
      </c>
    </row>
    <row r="3" spans="1:15">
      <c r="A3" t="s">
        <v>2626</v>
      </c>
      <c r="B3" t="s">
        <v>571</v>
      </c>
      <c r="C3" t="s">
        <v>572</v>
      </c>
      <c r="D3" t="s">
        <v>2259</v>
      </c>
      <c r="E3" s="180" t="s">
        <v>641</v>
      </c>
      <c r="F3" t="s">
        <v>2020</v>
      </c>
      <c r="G3" s="189">
        <v>1</v>
      </c>
      <c r="H3" s="7" t="s">
        <v>2463</v>
      </c>
      <c r="I3" s="171" t="s">
        <v>797</v>
      </c>
      <c r="J3" s="171" t="s">
        <v>840</v>
      </c>
      <c r="K3" s="171" t="s">
        <v>1015</v>
      </c>
      <c r="L3" s="171" t="s">
        <v>802</v>
      </c>
      <c r="M3" s="171" t="s">
        <v>440</v>
      </c>
      <c r="N3" s="171" t="s">
        <v>794</v>
      </c>
      <c r="O3" s="171" t="s">
        <v>411</v>
      </c>
    </row>
    <row r="4" spans="1:15">
      <c r="A4" t="s">
        <v>2626</v>
      </c>
      <c r="B4" t="s">
        <v>2497</v>
      </c>
      <c r="D4" t="s">
        <v>2427</v>
      </c>
      <c r="E4" s="180" t="s">
        <v>642</v>
      </c>
      <c r="F4" t="s">
        <v>2188</v>
      </c>
      <c r="G4" s="189">
        <v>2</v>
      </c>
      <c r="H4" s="82" t="s">
        <v>1802</v>
      </c>
      <c r="I4" s="82" t="s">
        <v>1936</v>
      </c>
      <c r="J4" s="82" t="s">
        <v>1936</v>
      </c>
      <c r="K4" s="82" t="s">
        <v>1937</v>
      </c>
      <c r="L4" s="82" t="s">
        <v>547</v>
      </c>
      <c r="M4" s="82" t="s">
        <v>1802</v>
      </c>
      <c r="N4" s="82" t="s">
        <v>548</v>
      </c>
      <c r="O4" s="82" t="s">
        <v>1802</v>
      </c>
    </row>
    <row r="5" spans="1:15">
      <c r="A5" t="s">
        <v>2626</v>
      </c>
      <c r="B5" t="s">
        <v>573</v>
      </c>
      <c r="C5" t="s">
        <v>574</v>
      </c>
      <c r="D5" t="s">
        <v>2234</v>
      </c>
      <c r="E5" s="180" t="s">
        <v>643</v>
      </c>
      <c r="F5" t="s">
        <v>1995</v>
      </c>
      <c r="G5" s="189">
        <v>3</v>
      </c>
      <c r="H5" s="7" t="s">
        <v>2465</v>
      </c>
      <c r="I5" s="171" t="s">
        <v>798</v>
      </c>
      <c r="J5" s="171" t="s">
        <v>841</v>
      </c>
      <c r="K5" s="171" t="s">
        <v>1016</v>
      </c>
      <c r="L5" s="171" t="s">
        <v>804</v>
      </c>
      <c r="M5" s="171" t="s">
        <v>441</v>
      </c>
      <c r="N5" s="171" t="s">
        <v>795</v>
      </c>
      <c r="O5" s="171" t="s">
        <v>412</v>
      </c>
    </row>
    <row r="6" spans="1:15">
      <c r="A6" t="s">
        <v>2626</v>
      </c>
      <c r="B6" t="s">
        <v>575</v>
      </c>
      <c r="C6" t="s">
        <v>2498</v>
      </c>
      <c r="D6" t="s">
        <v>2243</v>
      </c>
      <c r="E6" s="180" t="s">
        <v>644</v>
      </c>
      <c r="F6" t="s">
        <v>2004</v>
      </c>
      <c r="G6" s="189">
        <v>4</v>
      </c>
      <c r="H6" s="7" t="s">
        <v>2466</v>
      </c>
      <c r="I6" s="171" t="s">
        <v>799</v>
      </c>
      <c r="J6" s="171" t="s">
        <v>842</v>
      </c>
      <c r="K6" s="171" t="s">
        <v>1017</v>
      </c>
      <c r="L6" s="171" t="s">
        <v>803</v>
      </c>
      <c r="M6" s="171" t="s">
        <v>442</v>
      </c>
      <c r="N6" s="171" t="s">
        <v>796</v>
      </c>
      <c r="O6" s="171" t="s">
        <v>413</v>
      </c>
    </row>
    <row r="7" spans="1:15">
      <c r="A7" t="s">
        <v>2626</v>
      </c>
      <c r="B7" t="s">
        <v>576</v>
      </c>
      <c r="C7" s="7" t="s">
        <v>820</v>
      </c>
      <c r="D7" t="s">
        <v>2313</v>
      </c>
      <c r="E7" s="180" t="s">
        <v>645</v>
      </c>
      <c r="F7" t="s">
        <v>2074</v>
      </c>
      <c r="G7" s="189">
        <v>5</v>
      </c>
      <c r="H7" s="82" t="s">
        <v>2464</v>
      </c>
      <c r="I7" s="82" t="s">
        <v>549</v>
      </c>
      <c r="J7" s="82" t="s">
        <v>550</v>
      </c>
      <c r="K7" s="82" t="s">
        <v>551</v>
      </c>
      <c r="L7" s="82" t="s">
        <v>552</v>
      </c>
      <c r="M7" s="82" t="s">
        <v>553</v>
      </c>
      <c r="N7" s="163" t="s">
        <v>1281</v>
      </c>
      <c r="O7" s="82" t="s">
        <v>554</v>
      </c>
    </row>
    <row r="8" spans="1:15">
      <c r="A8" t="s">
        <v>2626</v>
      </c>
      <c r="B8" t="s">
        <v>577</v>
      </c>
      <c r="C8" t="s">
        <v>578</v>
      </c>
      <c r="D8" t="s">
        <v>2418</v>
      </c>
      <c r="E8" s="180" t="s">
        <v>646</v>
      </c>
      <c r="F8" t="s">
        <v>2179</v>
      </c>
      <c r="G8" s="189">
        <v>6</v>
      </c>
    </row>
    <row r="9" spans="1:15">
      <c r="A9" t="s">
        <v>2626</v>
      </c>
      <c r="B9" t="s">
        <v>579</v>
      </c>
      <c r="C9" t="s">
        <v>580</v>
      </c>
      <c r="D9" t="s">
        <v>2259</v>
      </c>
      <c r="E9" s="180" t="s">
        <v>647</v>
      </c>
      <c r="F9" t="s">
        <v>2020</v>
      </c>
      <c r="G9" s="189">
        <v>7</v>
      </c>
    </row>
    <row r="10" spans="1:15">
      <c r="A10" t="s">
        <v>2626</v>
      </c>
      <c r="B10" t="s">
        <v>2500</v>
      </c>
      <c r="C10" t="s">
        <v>581</v>
      </c>
      <c r="D10" t="s">
        <v>2372</v>
      </c>
      <c r="E10" s="180" t="s">
        <v>648</v>
      </c>
      <c r="F10" t="s">
        <v>2133</v>
      </c>
      <c r="G10" s="189">
        <v>8</v>
      </c>
      <c r="H10" s="191" t="s">
        <v>640</v>
      </c>
    </row>
    <row r="11" spans="1:15">
      <c r="A11" t="s">
        <v>2626</v>
      </c>
      <c r="B11" t="s">
        <v>582</v>
      </c>
      <c r="C11" t="s">
        <v>1803</v>
      </c>
      <c r="D11" t="s">
        <v>2403</v>
      </c>
      <c r="E11" s="180" t="s">
        <v>649</v>
      </c>
      <c r="F11" t="s">
        <v>2164</v>
      </c>
      <c r="G11" s="189">
        <v>9</v>
      </c>
      <c r="H11" s="190" t="s">
        <v>2626</v>
      </c>
      <c r="I11" s="168">
        <v>1</v>
      </c>
    </row>
    <row r="12" spans="1:15">
      <c r="A12" t="s">
        <v>2626</v>
      </c>
      <c r="B12" t="s">
        <v>2501</v>
      </c>
      <c r="D12" t="s">
        <v>2339</v>
      </c>
      <c r="E12" s="180" t="s">
        <v>650</v>
      </c>
      <c r="F12" t="s">
        <v>2100</v>
      </c>
      <c r="G12" s="189">
        <v>10</v>
      </c>
      <c r="H12" s="190" t="s">
        <v>1565</v>
      </c>
      <c r="I12" s="168">
        <v>2</v>
      </c>
    </row>
    <row r="13" spans="1:15">
      <c r="A13" t="s">
        <v>2626</v>
      </c>
      <c r="B13" t="s">
        <v>583</v>
      </c>
      <c r="C13" t="s">
        <v>584</v>
      </c>
      <c r="D13" t="s">
        <v>2243</v>
      </c>
      <c r="E13" s="180" t="s">
        <v>651</v>
      </c>
      <c r="F13" t="s">
        <v>2004</v>
      </c>
      <c r="G13" s="189">
        <v>11</v>
      </c>
      <c r="H13" s="190" t="s">
        <v>1566</v>
      </c>
      <c r="I13" s="168">
        <v>3</v>
      </c>
    </row>
    <row r="14" spans="1:15">
      <c r="A14" t="s">
        <v>2626</v>
      </c>
      <c r="B14" t="s">
        <v>2502</v>
      </c>
      <c r="D14" t="s">
        <v>2320</v>
      </c>
      <c r="E14" s="180" t="s">
        <v>652</v>
      </c>
      <c r="F14" t="s">
        <v>2081</v>
      </c>
      <c r="G14" s="189">
        <v>12</v>
      </c>
      <c r="H14" s="190" t="s">
        <v>1567</v>
      </c>
      <c r="I14" s="168">
        <v>4</v>
      </c>
    </row>
    <row r="15" spans="1:15">
      <c r="A15" t="s">
        <v>2626</v>
      </c>
      <c r="B15" t="s">
        <v>1804</v>
      </c>
      <c r="C15" t="s">
        <v>585</v>
      </c>
      <c r="D15" t="s">
        <v>2310</v>
      </c>
      <c r="E15" s="180" t="s">
        <v>653</v>
      </c>
      <c r="F15" t="s">
        <v>2071</v>
      </c>
      <c r="G15" s="189">
        <v>13</v>
      </c>
    </row>
    <row r="16" spans="1:15">
      <c r="A16" t="s">
        <v>2626</v>
      </c>
      <c r="B16" t="s">
        <v>2503</v>
      </c>
      <c r="D16" t="s">
        <v>2244</v>
      </c>
      <c r="E16" s="180" t="s">
        <v>654</v>
      </c>
      <c r="F16" t="s">
        <v>2005</v>
      </c>
      <c r="G16" s="189">
        <v>14</v>
      </c>
    </row>
    <row r="17" spans="1:7">
      <c r="A17" t="s">
        <v>2626</v>
      </c>
      <c r="B17" t="s">
        <v>2504</v>
      </c>
      <c r="C17" s="7" t="s">
        <v>822</v>
      </c>
      <c r="D17" t="s">
        <v>2313</v>
      </c>
      <c r="E17" s="180" t="s">
        <v>655</v>
      </c>
      <c r="F17" t="s">
        <v>2074</v>
      </c>
      <c r="G17" s="189">
        <v>15</v>
      </c>
    </row>
    <row r="18" spans="1:7">
      <c r="A18" t="s">
        <v>2626</v>
      </c>
      <c r="B18" t="s">
        <v>2505</v>
      </c>
      <c r="C18" t="s">
        <v>2477</v>
      </c>
      <c r="D18" t="s">
        <v>2384</v>
      </c>
      <c r="E18" s="180" t="s">
        <v>656</v>
      </c>
      <c r="F18" t="s">
        <v>2145</v>
      </c>
      <c r="G18" s="189">
        <v>16</v>
      </c>
    </row>
    <row r="19" spans="1:7">
      <c r="A19" t="s">
        <v>2626</v>
      </c>
      <c r="B19" t="s">
        <v>1562</v>
      </c>
      <c r="D19" t="s">
        <v>2259</v>
      </c>
      <c r="E19" s="180" t="s">
        <v>657</v>
      </c>
      <c r="F19" t="s">
        <v>2020</v>
      </c>
      <c r="G19" s="189">
        <v>17</v>
      </c>
    </row>
    <row r="20" spans="1:7">
      <c r="A20" t="s">
        <v>2626</v>
      </c>
      <c r="B20" s="192" t="s">
        <v>586</v>
      </c>
      <c r="C20" s="7" t="s">
        <v>784</v>
      </c>
      <c r="D20" t="s">
        <v>2259</v>
      </c>
      <c r="E20" s="180" t="s">
        <v>658</v>
      </c>
      <c r="F20" t="s">
        <v>2020</v>
      </c>
      <c r="G20" s="189">
        <v>18</v>
      </c>
    </row>
    <row r="21" spans="1:7">
      <c r="A21" t="s">
        <v>2626</v>
      </c>
      <c r="B21" s="192" t="s">
        <v>587</v>
      </c>
      <c r="C21" s="7" t="s">
        <v>785</v>
      </c>
      <c r="D21" t="s">
        <v>2296</v>
      </c>
      <c r="E21" s="180" t="s">
        <v>659</v>
      </c>
      <c r="F21" t="s">
        <v>2057</v>
      </c>
      <c r="G21" s="189">
        <v>19</v>
      </c>
    </row>
    <row r="22" spans="1:7">
      <c r="A22" t="s">
        <v>2626</v>
      </c>
      <c r="B22" t="s">
        <v>2627</v>
      </c>
      <c r="C22" t="s">
        <v>588</v>
      </c>
      <c r="D22" t="s">
        <v>2245</v>
      </c>
      <c r="E22" s="180" t="s">
        <v>660</v>
      </c>
      <c r="F22" t="s">
        <v>2006</v>
      </c>
      <c r="G22" s="189">
        <v>20</v>
      </c>
    </row>
    <row r="23" spans="1:7">
      <c r="A23" t="s">
        <v>2626</v>
      </c>
      <c r="B23" t="s">
        <v>589</v>
      </c>
      <c r="C23" t="s">
        <v>590</v>
      </c>
      <c r="D23" t="s">
        <v>2313</v>
      </c>
      <c r="E23" s="180" t="s">
        <v>661</v>
      </c>
      <c r="F23" t="s">
        <v>2074</v>
      </c>
      <c r="G23" s="189">
        <v>21</v>
      </c>
    </row>
    <row r="24" spans="1:7">
      <c r="A24" t="s">
        <v>2626</v>
      </c>
      <c r="B24" t="s">
        <v>2506</v>
      </c>
      <c r="C24" t="s">
        <v>591</v>
      </c>
      <c r="D24" t="s">
        <v>2313</v>
      </c>
      <c r="E24" s="180" t="s">
        <v>662</v>
      </c>
      <c r="F24" t="s">
        <v>2074</v>
      </c>
      <c r="G24" s="189">
        <v>22</v>
      </c>
    </row>
    <row r="25" spans="1:7">
      <c r="A25" t="s">
        <v>2626</v>
      </c>
      <c r="B25" t="s">
        <v>1805</v>
      </c>
      <c r="C25" t="s">
        <v>592</v>
      </c>
      <c r="D25" t="s">
        <v>2245</v>
      </c>
      <c r="E25" s="180" t="s">
        <v>663</v>
      </c>
      <c r="F25" t="s">
        <v>2006</v>
      </c>
      <c r="G25" s="189">
        <v>23</v>
      </c>
    </row>
    <row r="26" spans="1:7">
      <c r="A26" t="s">
        <v>2626</v>
      </c>
      <c r="B26" s="192" t="s">
        <v>593</v>
      </c>
      <c r="C26" s="7" t="s">
        <v>786</v>
      </c>
      <c r="D26" t="s">
        <v>2241</v>
      </c>
      <c r="E26" s="180" t="s">
        <v>664</v>
      </c>
      <c r="F26" t="s">
        <v>2002</v>
      </c>
      <c r="G26" s="189">
        <v>24</v>
      </c>
    </row>
    <row r="27" spans="1:7">
      <c r="A27" t="s">
        <v>2626</v>
      </c>
      <c r="B27" s="192" t="s">
        <v>2621</v>
      </c>
      <c r="C27" s="7" t="s">
        <v>823</v>
      </c>
      <c r="D27" t="s">
        <v>2426</v>
      </c>
      <c r="E27" s="180" t="s">
        <v>665</v>
      </c>
      <c r="F27" t="s">
        <v>2187</v>
      </c>
      <c r="G27" s="189">
        <v>25</v>
      </c>
    </row>
    <row r="28" spans="1:7">
      <c r="A28" t="s">
        <v>2626</v>
      </c>
      <c r="B28" t="s">
        <v>2507</v>
      </c>
      <c r="C28" t="s">
        <v>594</v>
      </c>
      <c r="D28" t="s">
        <v>2384</v>
      </c>
      <c r="E28" s="180" t="s">
        <v>666</v>
      </c>
      <c r="F28" t="s">
        <v>2145</v>
      </c>
      <c r="G28" s="189">
        <v>26</v>
      </c>
    </row>
    <row r="29" spans="1:7">
      <c r="A29" t="s">
        <v>2626</v>
      </c>
      <c r="B29" t="s">
        <v>2508</v>
      </c>
      <c r="D29" t="s">
        <v>2384</v>
      </c>
      <c r="E29" s="180" t="s">
        <v>667</v>
      </c>
      <c r="F29" t="s">
        <v>2145</v>
      </c>
      <c r="G29" s="189">
        <v>27</v>
      </c>
    </row>
    <row r="30" spans="1:7">
      <c r="A30" t="s">
        <v>2626</v>
      </c>
      <c r="B30" t="s">
        <v>595</v>
      </c>
      <c r="C30" t="s">
        <v>449</v>
      </c>
      <c r="D30" t="s">
        <v>2313</v>
      </c>
      <c r="E30" s="180" t="s">
        <v>668</v>
      </c>
      <c r="F30" t="s">
        <v>2074</v>
      </c>
      <c r="G30" s="189">
        <v>28</v>
      </c>
    </row>
    <row r="31" spans="1:7">
      <c r="A31" t="s">
        <v>2626</v>
      </c>
      <c r="B31" t="s">
        <v>2509</v>
      </c>
      <c r="D31" t="s">
        <v>2314</v>
      </c>
      <c r="E31" s="180" t="s">
        <v>669</v>
      </c>
      <c r="F31" t="s">
        <v>2075</v>
      </c>
      <c r="G31" s="189">
        <v>29</v>
      </c>
    </row>
    <row r="32" spans="1:7">
      <c r="A32" t="s">
        <v>2626</v>
      </c>
      <c r="B32" t="s">
        <v>1806</v>
      </c>
      <c r="D32" t="s">
        <v>2316</v>
      </c>
      <c r="E32" s="180" t="s">
        <v>670</v>
      </c>
      <c r="F32" t="s">
        <v>2077</v>
      </c>
      <c r="G32" s="189">
        <v>30</v>
      </c>
    </row>
    <row r="33" spans="1:7">
      <c r="A33" t="s">
        <v>2626</v>
      </c>
      <c r="B33" t="s">
        <v>2510</v>
      </c>
      <c r="C33" t="s">
        <v>596</v>
      </c>
      <c r="D33" t="s">
        <v>2386</v>
      </c>
      <c r="E33" s="180" t="s">
        <v>671</v>
      </c>
      <c r="F33" t="s">
        <v>2147</v>
      </c>
      <c r="G33" s="189">
        <v>31</v>
      </c>
    </row>
    <row r="34" spans="1:7">
      <c r="A34" t="s">
        <v>2626</v>
      </c>
      <c r="B34" t="s">
        <v>597</v>
      </c>
      <c r="C34" s="7" t="s">
        <v>2511</v>
      </c>
      <c r="D34" t="s">
        <v>2320</v>
      </c>
      <c r="E34" s="180" t="s">
        <v>672</v>
      </c>
      <c r="F34" t="s">
        <v>2081</v>
      </c>
      <c r="G34" s="189">
        <v>32</v>
      </c>
    </row>
    <row r="35" spans="1:7">
      <c r="A35" t="s">
        <v>2626</v>
      </c>
      <c r="B35" t="s">
        <v>2512</v>
      </c>
      <c r="C35" t="s">
        <v>598</v>
      </c>
      <c r="D35" t="s">
        <v>2426</v>
      </c>
      <c r="E35" s="180" t="s">
        <v>673</v>
      </c>
      <c r="F35" t="s">
        <v>2187</v>
      </c>
      <c r="G35" s="189">
        <v>33</v>
      </c>
    </row>
    <row r="36" spans="1:7">
      <c r="A36" t="s">
        <v>2626</v>
      </c>
      <c r="B36" t="s">
        <v>599</v>
      </c>
      <c r="D36" t="s">
        <v>2313</v>
      </c>
      <c r="E36" s="180" t="s">
        <v>674</v>
      </c>
      <c r="F36" t="s">
        <v>2074</v>
      </c>
      <c r="G36" s="189">
        <v>34</v>
      </c>
    </row>
    <row r="37" spans="1:7">
      <c r="A37" t="s">
        <v>2626</v>
      </c>
      <c r="B37" s="192" t="s">
        <v>600</v>
      </c>
      <c r="C37" s="7" t="s">
        <v>787</v>
      </c>
      <c r="D37" t="s">
        <v>2243</v>
      </c>
      <c r="E37" s="180" t="s">
        <v>675</v>
      </c>
      <c r="F37" t="s">
        <v>2004</v>
      </c>
      <c r="G37" s="189">
        <v>35</v>
      </c>
    </row>
    <row r="38" spans="1:7">
      <c r="A38" t="s">
        <v>2626</v>
      </c>
      <c r="B38" s="192" t="s">
        <v>601</v>
      </c>
      <c r="C38" s="7" t="s">
        <v>788</v>
      </c>
      <c r="D38" t="s">
        <v>2296</v>
      </c>
      <c r="E38" s="180" t="s">
        <v>676</v>
      </c>
      <c r="F38" t="s">
        <v>2057</v>
      </c>
      <c r="G38" s="189">
        <v>36</v>
      </c>
    </row>
    <row r="39" spans="1:7">
      <c r="A39" t="s">
        <v>2626</v>
      </c>
      <c r="B39" s="192" t="s">
        <v>602</v>
      </c>
      <c r="C39" s="7" t="s">
        <v>789</v>
      </c>
      <c r="D39" t="s">
        <v>2426</v>
      </c>
      <c r="E39" s="180" t="s">
        <v>677</v>
      </c>
      <c r="F39" t="s">
        <v>2187</v>
      </c>
      <c r="G39" s="189">
        <v>37</v>
      </c>
    </row>
    <row r="40" spans="1:7">
      <c r="A40" t="s">
        <v>2626</v>
      </c>
      <c r="B40" t="s">
        <v>603</v>
      </c>
      <c r="D40" t="s">
        <v>2339</v>
      </c>
      <c r="E40" s="180" t="s">
        <v>678</v>
      </c>
      <c r="F40" t="s">
        <v>2100</v>
      </c>
      <c r="G40" s="189">
        <v>38</v>
      </c>
    </row>
    <row r="41" spans="1:7">
      <c r="A41" t="s">
        <v>2626</v>
      </c>
      <c r="B41" t="s">
        <v>39</v>
      </c>
      <c r="D41" t="s">
        <v>2313</v>
      </c>
      <c r="E41" s="180" t="s">
        <v>679</v>
      </c>
      <c r="F41" t="s">
        <v>2074</v>
      </c>
      <c r="G41" s="189">
        <v>39</v>
      </c>
    </row>
    <row r="42" spans="1:7">
      <c r="A42" t="s">
        <v>2626</v>
      </c>
      <c r="B42" t="s">
        <v>604</v>
      </c>
      <c r="C42" t="s">
        <v>1812</v>
      </c>
      <c r="D42" t="s">
        <v>2313</v>
      </c>
      <c r="E42" s="180" t="s">
        <v>680</v>
      </c>
      <c r="F42" t="s">
        <v>2074</v>
      </c>
      <c r="G42" s="189">
        <v>40</v>
      </c>
    </row>
    <row r="43" spans="1:7">
      <c r="A43" t="s">
        <v>2626</v>
      </c>
      <c r="B43" t="s">
        <v>2513</v>
      </c>
      <c r="D43" t="s">
        <v>2384</v>
      </c>
      <c r="E43" s="180" t="s">
        <v>681</v>
      </c>
      <c r="F43" t="s">
        <v>2145</v>
      </c>
      <c r="G43" s="189">
        <v>41</v>
      </c>
    </row>
    <row r="44" spans="1:7">
      <c r="A44" t="s">
        <v>2626</v>
      </c>
      <c r="B44" t="s">
        <v>605</v>
      </c>
      <c r="C44" s="7" t="s">
        <v>783</v>
      </c>
      <c r="D44" t="s">
        <v>2427</v>
      </c>
      <c r="E44" s="180" t="s">
        <v>682</v>
      </c>
      <c r="F44" t="s">
        <v>2188</v>
      </c>
      <c r="G44" s="189">
        <v>42</v>
      </c>
    </row>
    <row r="45" spans="1:7">
      <c r="A45" t="s">
        <v>2626</v>
      </c>
      <c r="B45" t="s">
        <v>451</v>
      </c>
      <c r="C45" t="s">
        <v>2515</v>
      </c>
      <c r="D45" t="s">
        <v>2426</v>
      </c>
      <c r="E45" s="180" t="s">
        <v>683</v>
      </c>
      <c r="F45" t="s">
        <v>2187</v>
      </c>
      <c r="G45" s="189">
        <v>43</v>
      </c>
    </row>
    <row r="46" spans="1:7">
      <c r="A46" t="s">
        <v>2626</v>
      </c>
      <c r="B46" t="s">
        <v>606</v>
      </c>
      <c r="D46" t="s">
        <v>2384</v>
      </c>
      <c r="E46" s="180" t="s">
        <v>684</v>
      </c>
      <c r="F46" t="s">
        <v>2145</v>
      </c>
      <c r="G46" s="189">
        <v>44</v>
      </c>
    </row>
    <row r="47" spans="1:7">
      <c r="A47" t="s">
        <v>2626</v>
      </c>
      <c r="B47" t="s">
        <v>2516</v>
      </c>
      <c r="C47" t="s">
        <v>607</v>
      </c>
      <c r="D47" t="s">
        <v>2243</v>
      </c>
      <c r="E47" s="180" t="s">
        <v>685</v>
      </c>
      <c r="F47" t="s">
        <v>2004</v>
      </c>
      <c r="G47" s="189">
        <v>45</v>
      </c>
    </row>
    <row r="48" spans="1:7">
      <c r="A48" t="s">
        <v>2626</v>
      </c>
      <c r="B48" t="s">
        <v>1265</v>
      </c>
      <c r="C48" t="s">
        <v>608</v>
      </c>
      <c r="D48" t="s">
        <v>2218</v>
      </c>
      <c r="E48" s="180" t="s">
        <v>686</v>
      </c>
      <c r="F48" t="s">
        <v>1979</v>
      </c>
      <c r="G48" s="189">
        <v>46</v>
      </c>
    </row>
    <row r="49" spans="1:7">
      <c r="A49" t="s">
        <v>2626</v>
      </c>
      <c r="B49" t="s">
        <v>2518</v>
      </c>
      <c r="C49" t="s">
        <v>609</v>
      </c>
      <c r="D49" t="s">
        <v>2384</v>
      </c>
      <c r="E49" s="180" t="s">
        <v>687</v>
      </c>
      <c r="F49" t="s">
        <v>2145</v>
      </c>
      <c r="G49" s="189">
        <v>47</v>
      </c>
    </row>
    <row r="50" spans="1:7">
      <c r="A50" t="s">
        <v>2626</v>
      </c>
      <c r="B50" t="s">
        <v>610</v>
      </c>
      <c r="D50" t="s">
        <v>2302</v>
      </c>
      <c r="E50" s="180" t="s">
        <v>688</v>
      </c>
      <c r="F50" t="s">
        <v>2063</v>
      </c>
      <c r="G50" s="189">
        <v>48</v>
      </c>
    </row>
    <row r="51" spans="1:7">
      <c r="A51" t="s">
        <v>2626</v>
      </c>
      <c r="B51" t="s">
        <v>611</v>
      </c>
      <c r="C51" t="s">
        <v>612</v>
      </c>
      <c r="D51" t="s">
        <v>2439</v>
      </c>
      <c r="E51" s="180" t="s">
        <v>689</v>
      </c>
      <c r="F51" t="s">
        <v>2200</v>
      </c>
      <c r="G51" s="189">
        <v>49</v>
      </c>
    </row>
    <row r="52" spans="1:7">
      <c r="A52" t="s">
        <v>2626</v>
      </c>
      <c r="B52" t="s">
        <v>2520</v>
      </c>
      <c r="D52" t="s">
        <v>2241</v>
      </c>
      <c r="E52" s="180" t="s">
        <v>690</v>
      </c>
      <c r="F52" t="s">
        <v>2002</v>
      </c>
      <c r="G52" s="189">
        <v>50</v>
      </c>
    </row>
    <row r="53" spans="1:7">
      <c r="A53" t="s">
        <v>2626</v>
      </c>
      <c r="B53" t="s">
        <v>2521</v>
      </c>
      <c r="C53" t="s">
        <v>613</v>
      </c>
      <c r="D53" t="s">
        <v>2362</v>
      </c>
      <c r="E53" s="180" t="s">
        <v>691</v>
      </c>
      <c r="F53" t="s">
        <v>2123</v>
      </c>
      <c r="G53" s="189">
        <v>51</v>
      </c>
    </row>
    <row r="54" spans="1:7">
      <c r="A54" t="s">
        <v>2626</v>
      </c>
      <c r="B54" t="s">
        <v>2522</v>
      </c>
      <c r="D54" t="s">
        <v>2269</v>
      </c>
      <c r="E54" s="180" t="s">
        <v>692</v>
      </c>
      <c r="F54" t="s">
        <v>2030</v>
      </c>
      <c r="G54" s="189">
        <v>52</v>
      </c>
    </row>
    <row r="55" spans="1:7">
      <c r="A55" t="s">
        <v>2626</v>
      </c>
      <c r="B55" t="s">
        <v>614</v>
      </c>
      <c r="C55" t="s">
        <v>615</v>
      </c>
      <c r="D55" t="s">
        <v>2245</v>
      </c>
      <c r="E55" s="180" t="s">
        <v>693</v>
      </c>
      <c r="F55" t="s">
        <v>2006</v>
      </c>
      <c r="G55" s="189">
        <v>53</v>
      </c>
    </row>
    <row r="56" spans="1:7">
      <c r="A56" t="s">
        <v>2626</v>
      </c>
      <c r="B56" t="s">
        <v>616</v>
      </c>
      <c r="D56" t="s">
        <v>2245</v>
      </c>
      <c r="E56" s="180" t="s">
        <v>694</v>
      </c>
      <c r="F56" t="s">
        <v>2006</v>
      </c>
      <c r="G56" s="189">
        <v>54</v>
      </c>
    </row>
    <row r="57" spans="1:7">
      <c r="A57" t="s">
        <v>2626</v>
      </c>
      <c r="B57" t="s">
        <v>2523</v>
      </c>
      <c r="C57" t="s">
        <v>617</v>
      </c>
      <c r="D57" t="s">
        <v>2384</v>
      </c>
      <c r="E57" s="180" t="s">
        <v>695</v>
      </c>
      <c r="F57" t="s">
        <v>2145</v>
      </c>
      <c r="G57" s="189">
        <v>55</v>
      </c>
    </row>
    <row r="58" spans="1:7">
      <c r="A58" t="s">
        <v>2626</v>
      </c>
      <c r="B58" t="s">
        <v>2524</v>
      </c>
      <c r="C58" t="s">
        <v>618</v>
      </c>
      <c r="D58" t="s">
        <v>2420</v>
      </c>
      <c r="E58" s="180" t="s">
        <v>696</v>
      </c>
      <c r="F58" t="s">
        <v>2181</v>
      </c>
      <c r="G58" s="189">
        <v>56</v>
      </c>
    </row>
    <row r="59" spans="1:7">
      <c r="A59" t="s">
        <v>2626</v>
      </c>
      <c r="B59" t="s">
        <v>619</v>
      </c>
      <c r="C59" t="s">
        <v>620</v>
      </c>
      <c r="D59" t="s">
        <v>2313</v>
      </c>
      <c r="E59" s="180" t="s">
        <v>697</v>
      </c>
      <c r="F59" t="s">
        <v>2074</v>
      </c>
      <c r="G59" s="189">
        <v>57</v>
      </c>
    </row>
    <row r="60" spans="1:7">
      <c r="A60" t="s">
        <v>2626</v>
      </c>
      <c r="B60" t="s">
        <v>621</v>
      </c>
      <c r="C60" t="s">
        <v>622</v>
      </c>
      <c r="D60" t="s">
        <v>2313</v>
      </c>
      <c r="E60" s="180" t="s">
        <v>698</v>
      </c>
      <c r="F60" t="s">
        <v>2074</v>
      </c>
      <c r="G60" s="189">
        <v>58</v>
      </c>
    </row>
    <row r="61" spans="1:7">
      <c r="A61" t="s">
        <v>2626</v>
      </c>
      <c r="B61" t="s">
        <v>1807</v>
      </c>
      <c r="C61" t="s">
        <v>623</v>
      </c>
      <c r="D61" t="s">
        <v>2245</v>
      </c>
      <c r="E61" s="180" t="s">
        <v>699</v>
      </c>
      <c r="F61" t="s">
        <v>2006</v>
      </c>
      <c r="G61" s="189">
        <v>59</v>
      </c>
    </row>
    <row r="62" spans="1:7">
      <c r="A62" t="s">
        <v>2626</v>
      </c>
      <c r="B62" t="s">
        <v>2527</v>
      </c>
      <c r="C62" t="s">
        <v>624</v>
      </c>
      <c r="D62" t="s">
        <v>2313</v>
      </c>
      <c r="E62" s="180" t="s">
        <v>700</v>
      </c>
      <c r="F62" t="s">
        <v>2074</v>
      </c>
      <c r="G62" s="189">
        <v>60</v>
      </c>
    </row>
    <row r="63" spans="1:7">
      <c r="A63" t="s">
        <v>2626</v>
      </c>
      <c r="B63" s="192" t="s">
        <v>625</v>
      </c>
      <c r="D63" t="s">
        <v>2234</v>
      </c>
      <c r="E63" s="180" t="s">
        <v>701</v>
      </c>
      <c r="F63" t="s">
        <v>1995</v>
      </c>
      <c r="G63" s="189">
        <v>61</v>
      </c>
    </row>
    <row r="64" spans="1:7">
      <c r="A64" t="s">
        <v>2626</v>
      </c>
      <c r="B64" s="192" t="s">
        <v>626</v>
      </c>
      <c r="C64" s="7" t="s">
        <v>790</v>
      </c>
      <c r="D64" t="s">
        <v>2222</v>
      </c>
      <c r="E64" s="180" t="s">
        <v>702</v>
      </c>
      <c r="F64" t="s">
        <v>1983</v>
      </c>
      <c r="G64" s="189">
        <v>62</v>
      </c>
    </row>
    <row r="65" spans="1:7">
      <c r="A65" t="s">
        <v>2626</v>
      </c>
      <c r="B65" t="s">
        <v>627</v>
      </c>
      <c r="C65" t="s">
        <v>628</v>
      </c>
      <c r="D65" t="s">
        <v>2243</v>
      </c>
      <c r="E65" s="180" t="s">
        <v>703</v>
      </c>
      <c r="F65" t="s">
        <v>2004</v>
      </c>
      <c r="G65" s="189">
        <v>63</v>
      </c>
    </row>
    <row r="66" spans="1:7">
      <c r="A66" t="s">
        <v>2626</v>
      </c>
      <c r="B66" t="s">
        <v>629</v>
      </c>
      <c r="C66" t="s">
        <v>630</v>
      </c>
      <c r="D66" t="s">
        <v>2241</v>
      </c>
      <c r="E66" s="180" t="s">
        <v>704</v>
      </c>
      <c r="F66" t="s">
        <v>2002</v>
      </c>
      <c r="G66" s="189">
        <v>64</v>
      </c>
    </row>
    <row r="67" spans="1:7">
      <c r="A67" t="s">
        <v>2626</v>
      </c>
      <c r="B67" t="s">
        <v>1808</v>
      </c>
      <c r="C67" t="s">
        <v>631</v>
      </c>
      <c r="D67" t="s">
        <v>2245</v>
      </c>
      <c r="E67" s="180" t="s">
        <v>705</v>
      </c>
      <c r="F67" t="s">
        <v>2006</v>
      </c>
      <c r="G67" s="189">
        <v>65</v>
      </c>
    </row>
    <row r="68" spans="1:7">
      <c r="A68" t="s">
        <v>2626</v>
      </c>
      <c r="B68" t="s">
        <v>1809</v>
      </c>
      <c r="C68" t="s">
        <v>632</v>
      </c>
      <c r="D68" t="s">
        <v>2245</v>
      </c>
      <c r="E68" s="180" t="s">
        <v>706</v>
      </c>
      <c r="F68" t="s">
        <v>2006</v>
      </c>
      <c r="G68" s="189">
        <v>66</v>
      </c>
    </row>
    <row r="69" spans="1:7">
      <c r="A69" t="s">
        <v>2626</v>
      </c>
      <c r="B69" t="s">
        <v>633</v>
      </c>
      <c r="D69" t="s">
        <v>2384</v>
      </c>
      <c r="E69" s="180" t="s">
        <v>707</v>
      </c>
      <c r="F69" t="s">
        <v>2145</v>
      </c>
      <c r="G69" s="189">
        <v>67</v>
      </c>
    </row>
    <row r="70" spans="1:7">
      <c r="A70" t="s">
        <v>2626</v>
      </c>
      <c r="B70" t="s">
        <v>634</v>
      </c>
      <c r="C70" t="s">
        <v>635</v>
      </c>
      <c r="D70" t="s">
        <v>2243</v>
      </c>
      <c r="E70" s="180" t="s">
        <v>708</v>
      </c>
      <c r="F70" t="s">
        <v>2004</v>
      </c>
      <c r="G70" s="189">
        <v>68</v>
      </c>
    </row>
    <row r="71" spans="1:7">
      <c r="A71" t="s">
        <v>2626</v>
      </c>
      <c r="B71" t="s">
        <v>636</v>
      </c>
      <c r="D71" t="s">
        <v>2418</v>
      </c>
      <c r="E71" s="180" t="s">
        <v>709</v>
      </c>
      <c r="F71" t="s">
        <v>2179</v>
      </c>
      <c r="G71" s="189">
        <v>69</v>
      </c>
    </row>
    <row r="72" spans="1:7">
      <c r="A72" t="s">
        <v>2626</v>
      </c>
      <c r="B72" t="s">
        <v>637</v>
      </c>
      <c r="D72" t="s">
        <v>2418</v>
      </c>
      <c r="E72" s="180" t="s">
        <v>710</v>
      </c>
      <c r="F72" t="s">
        <v>2179</v>
      </c>
      <c r="G72" s="189">
        <v>70</v>
      </c>
    </row>
    <row r="73" spans="1:7">
      <c r="A73" t="s">
        <v>2626</v>
      </c>
      <c r="B73" s="219" t="s">
        <v>42</v>
      </c>
      <c r="D73" t="s">
        <v>2313</v>
      </c>
      <c r="E73" s="180" t="s">
        <v>49</v>
      </c>
      <c r="F73" t="s">
        <v>2074</v>
      </c>
      <c r="G73" s="189">
        <v>71</v>
      </c>
    </row>
    <row r="74" spans="1:7">
      <c r="A74" t="s">
        <v>2626</v>
      </c>
      <c r="B74" s="219" t="s">
        <v>43</v>
      </c>
      <c r="D74" t="s">
        <v>2313</v>
      </c>
      <c r="E74" s="180" t="s">
        <v>50</v>
      </c>
      <c r="F74" t="s">
        <v>2074</v>
      </c>
      <c r="G74" s="189">
        <v>72</v>
      </c>
    </row>
    <row r="75" spans="1:7">
      <c r="A75" t="s">
        <v>2626</v>
      </c>
      <c r="B75" s="219" t="s">
        <v>44</v>
      </c>
      <c r="D75" t="s">
        <v>2313</v>
      </c>
      <c r="E75" s="180" t="s">
        <v>51</v>
      </c>
      <c r="F75" t="s">
        <v>2074</v>
      </c>
      <c r="G75" s="189">
        <v>73</v>
      </c>
    </row>
    <row r="76" spans="1:7">
      <c r="A76" t="s">
        <v>2626</v>
      </c>
      <c r="B76" s="219" t="s">
        <v>45</v>
      </c>
      <c r="D76" t="s">
        <v>2313</v>
      </c>
      <c r="E76" s="180" t="s">
        <v>52</v>
      </c>
      <c r="F76" t="s">
        <v>2074</v>
      </c>
      <c r="G76" s="189">
        <v>74</v>
      </c>
    </row>
    <row r="77" spans="1:7">
      <c r="A77" t="s">
        <v>2626</v>
      </c>
      <c r="B77" s="219" t="s">
        <v>46</v>
      </c>
      <c r="D77" t="s">
        <v>2426</v>
      </c>
      <c r="E77" s="180" t="s">
        <v>53</v>
      </c>
      <c r="F77" t="s">
        <v>2187</v>
      </c>
      <c r="G77" s="189">
        <v>75</v>
      </c>
    </row>
    <row r="78" spans="1:7">
      <c r="A78" t="s">
        <v>2626</v>
      </c>
      <c r="B78" s="219" t="s">
        <v>47</v>
      </c>
      <c r="D78" t="s">
        <v>2426</v>
      </c>
      <c r="E78" s="180" t="s">
        <v>54</v>
      </c>
      <c r="F78" t="s">
        <v>2187</v>
      </c>
      <c r="G78" s="189">
        <v>76</v>
      </c>
    </row>
    <row r="79" spans="1:7">
      <c r="A79" t="s">
        <v>2626</v>
      </c>
      <c r="B79" s="219" t="s">
        <v>48</v>
      </c>
      <c r="D79" t="s">
        <v>2313</v>
      </c>
      <c r="E79" s="180" t="s">
        <v>55</v>
      </c>
      <c r="F79" t="s">
        <v>2074</v>
      </c>
      <c r="G79" s="189">
        <v>77</v>
      </c>
    </row>
    <row r="80" spans="1:7">
      <c r="A80" t="s">
        <v>2626</v>
      </c>
      <c r="B80" s="219" t="s">
        <v>146</v>
      </c>
      <c r="D80" t="s">
        <v>2313</v>
      </c>
      <c r="E80" s="180" t="s">
        <v>147</v>
      </c>
      <c r="F80" t="s">
        <v>2074</v>
      </c>
      <c r="G80" s="189">
        <v>78</v>
      </c>
    </row>
    <row r="81" spans="1:7">
      <c r="A81" t="s">
        <v>1565</v>
      </c>
      <c r="B81" t="s">
        <v>1782</v>
      </c>
      <c r="C81" s="7" t="s">
        <v>810</v>
      </c>
      <c r="D81" t="s">
        <v>2426</v>
      </c>
      <c r="E81" s="180" t="s">
        <v>711</v>
      </c>
      <c r="F81" t="s">
        <v>2187</v>
      </c>
      <c r="G81" s="189">
        <v>1</v>
      </c>
    </row>
    <row r="82" spans="1:7">
      <c r="A82" t="s">
        <v>1565</v>
      </c>
      <c r="B82" t="s">
        <v>1784</v>
      </c>
      <c r="D82" t="s">
        <v>2302</v>
      </c>
      <c r="E82" s="180" t="s">
        <v>712</v>
      </c>
      <c r="F82" t="s">
        <v>2063</v>
      </c>
      <c r="G82" s="189">
        <v>3</v>
      </c>
    </row>
    <row r="83" spans="1:7">
      <c r="A83" t="s">
        <v>1565</v>
      </c>
      <c r="B83" t="s">
        <v>2475</v>
      </c>
      <c r="D83" t="s">
        <v>2302</v>
      </c>
      <c r="E83" s="180" t="s">
        <v>713</v>
      </c>
      <c r="F83" t="s">
        <v>2063</v>
      </c>
      <c r="G83" s="189">
        <v>4</v>
      </c>
    </row>
    <row r="84" spans="1:7">
      <c r="A84" t="s">
        <v>1565</v>
      </c>
      <c r="B84" t="s">
        <v>1785</v>
      </c>
      <c r="D84" t="s">
        <v>2302</v>
      </c>
      <c r="E84" s="180" t="s">
        <v>714</v>
      </c>
      <c r="F84" t="s">
        <v>2063</v>
      </c>
      <c r="G84" s="189">
        <v>5</v>
      </c>
    </row>
    <row r="85" spans="1:7">
      <c r="A85" t="s">
        <v>1565</v>
      </c>
      <c r="B85" t="s">
        <v>1786</v>
      </c>
      <c r="D85" t="s">
        <v>2302</v>
      </c>
      <c r="E85" s="180" t="s">
        <v>715</v>
      </c>
      <c r="F85" t="s">
        <v>2063</v>
      </c>
      <c r="G85" s="189">
        <v>6</v>
      </c>
    </row>
    <row r="86" spans="1:7">
      <c r="A86" t="s">
        <v>1565</v>
      </c>
      <c r="B86" t="s">
        <v>1787</v>
      </c>
      <c r="D86" t="s">
        <v>2302</v>
      </c>
      <c r="E86" s="180" t="s">
        <v>716</v>
      </c>
      <c r="F86" t="s">
        <v>2063</v>
      </c>
      <c r="G86" s="189">
        <v>7</v>
      </c>
    </row>
    <row r="87" spans="1:7">
      <c r="A87" t="s">
        <v>1565</v>
      </c>
      <c r="B87" t="s">
        <v>1788</v>
      </c>
      <c r="D87" t="s">
        <v>2302</v>
      </c>
      <c r="E87" s="180" t="s">
        <v>717</v>
      </c>
      <c r="F87" t="s">
        <v>2063</v>
      </c>
      <c r="G87" s="189">
        <v>8</v>
      </c>
    </row>
    <row r="88" spans="1:7">
      <c r="A88" t="s">
        <v>1565</v>
      </c>
      <c r="B88" t="s">
        <v>1789</v>
      </c>
      <c r="D88" t="s">
        <v>2302</v>
      </c>
      <c r="E88" s="180" t="s">
        <v>718</v>
      </c>
      <c r="F88" t="s">
        <v>2063</v>
      </c>
      <c r="G88" s="189">
        <v>9</v>
      </c>
    </row>
    <row r="89" spans="1:7">
      <c r="A89" t="s">
        <v>1565</v>
      </c>
      <c r="B89" t="s">
        <v>1790</v>
      </c>
      <c r="C89" s="7" t="s">
        <v>811</v>
      </c>
      <c r="D89" t="s">
        <v>2233</v>
      </c>
      <c r="E89" s="180" t="s">
        <v>719</v>
      </c>
      <c r="F89" t="s">
        <v>1994</v>
      </c>
      <c r="G89" s="189">
        <v>10</v>
      </c>
    </row>
    <row r="90" spans="1:7">
      <c r="A90" t="s">
        <v>1565</v>
      </c>
      <c r="B90" t="s">
        <v>1791</v>
      </c>
      <c r="C90" s="7" t="s">
        <v>812</v>
      </c>
      <c r="D90" t="s">
        <v>2245</v>
      </c>
      <c r="E90" s="180" t="s">
        <v>720</v>
      </c>
      <c r="F90" t="s">
        <v>2006</v>
      </c>
      <c r="G90" s="189">
        <v>11</v>
      </c>
    </row>
    <row r="91" spans="1:7">
      <c r="A91" t="s">
        <v>1565</v>
      </c>
      <c r="B91" t="s">
        <v>40</v>
      </c>
      <c r="C91" t="s">
        <v>1564</v>
      </c>
      <c r="D91" t="s">
        <v>2245</v>
      </c>
      <c r="E91" s="180" t="s">
        <v>721</v>
      </c>
      <c r="F91" t="s">
        <v>2006</v>
      </c>
      <c r="G91" s="189">
        <v>12</v>
      </c>
    </row>
    <row r="92" spans="1:7">
      <c r="A92" t="s">
        <v>1565</v>
      </c>
      <c r="B92" t="s">
        <v>1792</v>
      </c>
      <c r="C92" s="7" t="s">
        <v>813</v>
      </c>
      <c r="D92" t="s">
        <v>2245</v>
      </c>
      <c r="E92" s="180" t="s">
        <v>722</v>
      </c>
      <c r="F92" t="s">
        <v>2006</v>
      </c>
      <c r="G92" s="189">
        <v>13</v>
      </c>
    </row>
    <row r="93" spans="1:7">
      <c r="A93" t="s">
        <v>1565</v>
      </c>
      <c r="B93" t="s">
        <v>2476</v>
      </c>
      <c r="D93" t="s">
        <v>2245</v>
      </c>
      <c r="E93" s="180" t="s">
        <v>723</v>
      </c>
      <c r="F93" t="s">
        <v>2006</v>
      </c>
      <c r="G93" s="189">
        <v>14</v>
      </c>
    </row>
    <row r="94" spans="1:7">
      <c r="A94" t="s">
        <v>1565</v>
      </c>
      <c r="B94" t="s">
        <v>1793</v>
      </c>
      <c r="D94" t="s">
        <v>2245</v>
      </c>
      <c r="E94" s="180" t="s">
        <v>724</v>
      </c>
      <c r="F94" t="s">
        <v>2006</v>
      </c>
      <c r="G94" s="189">
        <v>15</v>
      </c>
    </row>
    <row r="95" spans="1:7">
      <c r="A95" t="s">
        <v>1565</v>
      </c>
      <c r="B95" t="s">
        <v>1794</v>
      </c>
      <c r="C95" t="s">
        <v>1112</v>
      </c>
      <c r="D95" t="s">
        <v>2353</v>
      </c>
      <c r="E95" s="180" t="s">
        <v>725</v>
      </c>
      <c r="F95" t="s">
        <v>2114</v>
      </c>
      <c r="G95" s="189">
        <v>16</v>
      </c>
    </row>
    <row r="96" spans="1:7">
      <c r="A96" t="s">
        <v>1565</v>
      </c>
      <c r="B96" t="s">
        <v>1795</v>
      </c>
      <c r="D96" t="s">
        <v>2222</v>
      </c>
      <c r="E96" s="180" t="s">
        <v>726</v>
      </c>
      <c r="F96" t="s">
        <v>1983</v>
      </c>
      <c r="G96" s="189">
        <v>17</v>
      </c>
    </row>
    <row r="97" spans="1:7">
      <c r="A97" t="s">
        <v>1565</v>
      </c>
      <c r="B97" t="s">
        <v>2619</v>
      </c>
      <c r="C97" s="7" t="s">
        <v>814</v>
      </c>
      <c r="D97" t="s">
        <v>2234</v>
      </c>
      <c r="E97" s="180" t="s">
        <v>727</v>
      </c>
      <c r="F97" t="s">
        <v>1995</v>
      </c>
      <c r="G97" s="189">
        <v>18</v>
      </c>
    </row>
    <row r="98" spans="1:7">
      <c r="A98" t="s">
        <v>1565</v>
      </c>
      <c r="B98" t="s">
        <v>2620</v>
      </c>
      <c r="C98" s="7" t="s">
        <v>815</v>
      </c>
      <c r="D98" t="s">
        <v>2371</v>
      </c>
      <c r="E98" s="180" t="s">
        <v>728</v>
      </c>
      <c r="F98" t="s">
        <v>2132</v>
      </c>
      <c r="G98" s="189">
        <v>19</v>
      </c>
    </row>
    <row r="99" spans="1:7">
      <c r="A99" t="s">
        <v>1565</v>
      </c>
      <c r="B99" t="s">
        <v>39</v>
      </c>
      <c r="D99" t="s">
        <v>2313</v>
      </c>
      <c r="E99" s="180" t="s">
        <v>729</v>
      </c>
      <c r="F99" t="s">
        <v>2074</v>
      </c>
      <c r="G99" s="189">
        <v>20</v>
      </c>
    </row>
    <row r="100" spans="1:7">
      <c r="A100" t="s">
        <v>1565</v>
      </c>
      <c r="B100" t="s">
        <v>139</v>
      </c>
      <c r="D100" t="s">
        <v>2384</v>
      </c>
      <c r="E100" s="180" t="s">
        <v>730</v>
      </c>
      <c r="F100" t="s">
        <v>2145</v>
      </c>
      <c r="G100" s="189">
        <v>21</v>
      </c>
    </row>
    <row r="101" spans="1:7">
      <c r="A101" t="s">
        <v>1565</v>
      </c>
      <c r="B101" t="s">
        <v>1796</v>
      </c>
      <c r="D101" t="s">
        <v>2233</v>
      </c>
      <c r="E101" s="180" t="s">
        <v>731</v>
      </c>
      <c r="F101" t="s">
        <v>1994</v>
      </c>
      <c r="G101" s="189">
        <v>22</v>
      </c>
    </row>
    <row r="102" spans="1:7">
      <c r="A102" t="s">
        <v>1565</v>
      </c>
      <c r="B102" t="s">
        <v>1797</v>
      </c>
      <c r="D102" t="s">
        <v>2302</v>
      </c>
      <c r="E102" s="180" t="s">
        <v>732</v>
      </c>
      <c r="F102" t="s">
        <v>2063</v>
      </c>
      <c r="G102" s="189">
        <v>23</v>
      </c>
    </row>
    <row r="103" spans="1:7">
      <c r="A103" t="s">
        <v>1565</v>
      </c>
      <c r="B103" t="s">
        <v>1798</v>
      </c>
      <c r="D103" t="s">
        <v>2302</v>
      </c>
      <c r="E103" s="180" t="s">
        <v>733</v>
      </c>
      <c r="F103" t="s">
        <v>2063</v>
      </c>
      <c r="G103" s="189">
        <v>24</v>
      </c>
    </row>
    <row r="104" spans="1:7">
      <c r="A104" t="s">
        <v>1565</v>
      </c>
      <c r="B104" t="s">
        <v>1799</v>
      </c>
      <c r="D104" t="s">
        <v>2302</v>
      </c>
      <c r="E104" s="180" t="s">
        <v>734</v>
      </c>
      <c r="F104" t="s">
        <v>2063</v>
      </c>
      <c r="G104" s="189">
        <v>25</v>
      </c>
    </row>
    <row r="105" spans="1:7">
      <c r="A105" t="s">
        <v>1565</v>
      </c>
      <c r="B105" t="s">
        <v>1800</v>
      </c>
      <c r="D105" t="s">
        <v>2302</v>
      </c>
      <c r="E105" s="180" t="s">
        <v>735</v>
      </c>
      <c r="F105" t="s">
        <v>2063</v>
      </c>
      <c r="G105" s="189">
        <v>26</v>
      </c>
    </row>
    <row r="106" spans="1:7">
      <c r="A106" t="s">
        <v>1565</v>
      </c>
      <c r="B106" t="s">
        <v>2478</v>
      </c>
      <c r="D106" t="s">
        <v>2302</v>
      </c>
      <c r="E106" s="180" t="s">
        <v>736</v>
      </c>
      <c r="F106" t="s">
        <v>2063</v>
      </c>
      <c r="G106" s="189">
        <v>27</v>
      </c>
    </row>
    <row r="107" spans="1:7">
      <c r="A107" t="s">
        <v>1565</v>
      </c>
      <c r="B107" t="s">
        <v>2479</v>
      </c>
      <c r="D107" t="s">
        <v>2302</v>
      </c>
      <c r="E107" s="180" t="s">
        <v>737</v>
      </c>
      <c r="F107" t="s">
        <v>2063</v>
      </c>
      <c r="G107" s="189">
        <v>28</v>
      </c>
    </row>
    <row r="108" spans="1:7">
      <c r="A108" t="s">
        <v>1565</v>
      </c>
      <c r="B108" t="s">
        <v>2480</v>
      </c>
      <c r="D108" t="s">
        <v>2302</v>
      </c>
      <c r="E108" s="180" t="s">
        <v>738</v>
      </c>
      <c r="F108" t="s">
        <v>2063</v>
      </c>
      <c r="G108" s="189">
        <v>29</v>
      </c>
    </row>
    <row r="109" spans="1:7">
      <c r="A109" t="s">
        <v>1565</v>
      </c>
      <c r="B109" t="s">
        <v>2481</v>
      </c>
      <c r="D109" t="s">
        <v>2302</v>
      </c>
      <c r="E109" s="180" t="s">
        <v>739</v>
      </c>
      <c r="F109" t="s">
        <v>2063</v>
      </c>
      <c r="G109" s="189">
        <v>30</v>
      </c>
    </row>
    <row r="110" spans="1:7">
      <c r="A110" t="s">
        <v>1565</v>
      </c>
      <c r="B110" t="s">
        <v>2482</v>
      </c>
      <c r="D110" t="s">
        <v>2302</v>
      </c>
      <c r="E110" s="180" t="s">
        <v>740</v>
      </c>
      <c r="F110" t="s">
        <v>2063</v>
      </c>
      <c r="G110" s="189">
        <v>31</v>
      </c>
    </row>
    <row r="111" spans="1:7">
      <c r="A111" t="s">
        <v>1565</v>
      </c>
      <c r="B111" t="s">
        <v>2483</v>
      </c>
      <c r="D111" t="s">
        <v>2302</v>
      </c>
      <c r="E111" s="180" t="s">
        <v>741</v>
      </c>
      <c r="F111" t="s">
        <v>2063</v>
      </c>
      <c r="G111" s="189">
        <v>32</v>
      </c>
    </row>
    <row r="112" spans="1:7">
      <c r="A112" t="s">
        <v>1565</v>
      </c>
      <c r="B112" t="s">
        <v>2484</v>
      </c>
      <c r="D112" t="s">
        <v>2302</v>
      </c>
      <c r="E112" s="180" t="s">
        <v>742</v>
      </c>
      <c r="F112" t="s">
        <v>2063</v>
      </c>
      <c r="G112" s="189">
        <v>33</v>
      </c>
    </row>
    <row r="113" spans="1:7">
      <c r="A113" t="s">
        <v>1565</v>
      </c>
      <c r="B113" t="s">
        <v>2485</v>
      </c>
      <c r="D113" t="s">
        <v>2302</v>
      </c>
      <c r="E113" s="180" t="s">
        <v>743</v>
      </c>
      <c r="F113" t="s">
        <v>2063</v>
      </c>
      <c r="G113" s="189">
        <v>34</v>
      </c>
    </row>
    <row r="114" spans="1:7">
      <c r="A114" t="s">
        <v>1565</v>
      </c>
      <c r="B114" t="s">
        <v>2486</v>
      </c>
      <c r="D114" t="s">
        <v>2302</v>
      </c>
      <c r="E114" s="180" t="s">
        <v>744</v>
      </c>
      <c r="F114" t="s">
        <v>2063</v>
      </c>
      <c r="G114" s="189">
        <v>35</v>
      </c>
    </row>
    <row r="115" spans="1:7">
      <c r="A115" t="s">
        <v>1565</v>
      </c>
      <c r="B115" t="s">
        <v>2487</v>
      </c>
      <c r="D115" t="s">
        <v>2302</v>
      </c>
      <c r="E115" s="180" t="s">
        <v>745</v>
      </c>
      <c r="F115" t="s">
        <v>2063</v>
      </c>
      <c r="G115" s="189">
        <v>36</v>
      </c>
    </row>
    <row r="116" spans="1:7">
      <c r="A116" t="s">
        <v>1565</v>
      </c>
      <c r="B116" t="s">
        <v>2488</v>
      </c>
      <c r="D116" t="s">
        <v>2302</v>
      </c>
      <c r="E116" s="180" t="s">
        <v>746</v>
      </c>
      <c r="F116" t="s">
        <v>2063</v>
      </c>
      <c r="G116" s="189">
        <v>37</v>
      </c>
    </row>
    <row r="117" spans="1:7">
      <c r="A117" t="s">
        <v>1565</v>
      </c>
      <c r="B117" t="s">
        <v>2489</v>
      </c>
      <c r="D117" t="s">
        <v>2302</v>
      </c>
      <c r="E117" s="180" t="s">
        <v>747</v>
      </c>
      <c r="F117" t="s">
        <v>2063</v>
      </c>
      <c r="G117" s="189">
        <v>38</v>
      </c>
    </row>
    <row r="118" spans="1:7">
      <c r="A118" t="s">
        <v>1565</v>
      </c>
      <c r="B118" t="s">
        <v>2490</v>
      </c>
      <c r="D118" t="s">
        <v>2302</v>
      </c>
      <c r="E118" s="180" t="s">
        <v>748</v>
      </c>
      <c r="F118" t="s">
        <v>2063</v>
      </c>
      <c r="G118" s="189">
        <v>39</v>
      </c>
    </row>
    <row r="119" spans="1:7">
      <c r="A119" t="s">
        <v>1565</v>
      </c>
      <c r="B119" s="7" t="s">
        <v>35</v>
      </c>
      <c r="C119" t="s">
        <v>1783</v>
      </c>
      <c r="D119" t="s">
        <v>2302</v>
      </c>
      <c r="E119" s="180" t="s">
        <v>749</v>
      </c>
      <c r="F119" t="s">
        <v>2063</v>
      </c>
      <c r="G119" s="189">
        <v>40</v>
      </c>
    </row>
    <row r="120" spans="1:7">
      <c r="A120" t="s">
        <v>1565</v>
      </c>
      <c r="B120" s="7" t="s">
        <v>36</v>
      </c>
      <c r="D120" t="s">
        <v>2302</v>
      </c>
      <c r="E120" s="180" t="s">
        <v>750</v>
      </c>
      <c r="F120" t="s">
        <v>2063</v>
      </c>
      <c r="G120" s="189">
        <v>41</v>
      </c>
    </row>
    <row r="121" spans="1:7">
      <c r="A121" t="s">
        <v>1565</v>
      </c>
      <c r="B121" t="s">
        <v>2617</v>
      </c>
      <c r="D121" t="s">
        <v>2302</v>
      </c>
      <c r="E121" s="180" t="s">
        <v>751</v>
      </c>
      <c r="F121" t="s">
        <v>2063</v>
      </c>
      <c r="G121" s="189">
        <v>42</v>
      </c>
    </row>
    <row r="122" spans="1:7">
      <c r="A122" t="s">
        <v>1565</v>
      </c>
      <c r="B122" t="s">
        <v>2493</v>
      </c>
      <c r="D122" t="s">
        <v>2302</v>
      </c>
      <c r="E122" s="180" t="s">
        <v>752</v>
      </c>
      <c r="F122" t="s">
        <v>2063</v>
      </c>
      <c r="G122" s="189">
        <v>43</v>
      </c>
    </row>
    <row r="123" spans="1:7">
      <c r="A123" t="s">
        <v>1565</v>
      </c>
      <c r="B123" t="s">
        <v>2494</v>
      </c>
      <c r="D123" t="s">
        <v>2302</v>
      </c>
      <c r="E123" s="180" t="s">
        <v>753</v>
      </c>
      <c r="F123" t="s">
        <v>2063</v>
      </c>
      <c r="G123" s="189">
        <v>44</v>
      </c>
    </row>
    <row r="124" spans="1:7">
      <c r="A124" t="s">
        <v>1565</v>
      </c>
      <c r="B124" t="s">
        <v>2495</v>
      </c>
      <c r="D124" t="s">
        <v>2302</v>
      </c>
      <c r="E124" s="180" t="s">
        <v>754</v>
      </c>
      <c r="F124" t="s">
        <v>2063</v>
      </c>
      <c r="G124" s="189">
        <v>45</v>
      </c>
    </row>
    <row r="125" spans="1:7">
      <c r="A125" t="s">
        <v>1565</v>
      </c>
      <c r="B125" t="s">
        <v>2614</v>
      </c>
      <c r="C125" s="7" t="s">
        <v>816</v>
      </c>
      <c r="D125" t="s">
        <v>2410</v>
      </c>
      <c r="E125" s="180" t="s">
        <v>755</v>
      </c>
      <c r="F125" t="s">
        <v>2171</v>
      </c>
      <c r="G125" s="189">
        <v>46</v>
      </c>
    </row>
    <row r="126" spans="1:7">
      <c r="A126" t="s">
        <v>1565</v>
      </c>
      <c r="B126" t="s">
        <v>1801</v>
      </c>
      <c r="C126" s="7" t="s">
        <v>817</v>
      </c>
      <c r="D126" t="s">
        <v>2245</v>
      </c>
      <c r="E126" s="180" t="s">
        <v>756</v>
      </c>
      <c r="F126" t="s">
        <v>2006</v>
      </c>
      <c r="G126" s="189">
        <v>47</v>
      </c>
    </row>
    <row r="127" spans="1:7">
      <c r="A127" t="s">
        <v>1565</v>
      </c>
      <c r="B127" t="s">
        <v>2615</v>
      </c>
      <c r="C127" t="s">
        <v>409</v>
      </c>
      <c r="D127" t="s">
        <v>2245</v>
      </c>
      <c r="E127" s="180" t="s">
        <v>757</v>
      </c>
      <c r="F127" t="s">
        <v>2006</v>
      </c>
      <c r="G127" s="189">
        <v>48</v>
      </c>
    </row>
    <row r="128" spans="1:7">
      <c r="A128" t="s">
        <v>1565</v>
      </c>
      <c r="B128" t="s">
        <v>2616</v>
      </c>
      <c r="C128" s="7" t="s">
        <v>37</v>
      </c>
      <c r="D128" t="s">
        <v>2302</v>
      </c>
      <c r="E128" s="180" t="s">
        <v>846</v>
      </c>
      <c r="F128" t="s">
        <v>2063</v>
      </c>
      <c r="G128" s="189">
        <v>49</v>
      </c>
    </row>
    <row r="129" spans="1:7">
      <c r="A129" t="s">
        <v>1565</v>
      </c>
      <c r="B129" t="s">
        <v>56</v>
      </c>
      <c r="C129" s="7" t="s">
        <v>59</v>
      </c>
      <c r="D129" s="7" t="s">
        <v>2245</v>
      </c>
      <c r="E129" s="180" t="s">
        <v>57</v>
      </c>
      <c r="F129" t="s">
        <v>2006</v>
      </c>
      <c r="G129" s="189">
        <v>50</v>
      </c>
    </row>
    <row r="130" spans="1:7">
      <c r="A130" t="s">
        <v>1565</v>
      </c>
      <c r="B130" t="s">
        <v>61</v>
      </c>
      <c r="C130" s="7" t="s">
        <v>63</v>
      </c>
      <c r="D130" s="7" t="s">
        <v>2245</v>
      </c>
      <c r="E130" s="180" t="s">
        <v>62</v>
      </c>
      <c r="F130" t="s">
        <v>2006</v>
      </c>
      <c r="G130" s="189">
        <v>51</v>
      </c>
    </row>
    <row r="131" spans="1:7">
      <c r="A131" t="s">
        <v>1565</v>
      </c>
      <c r="B131" t="s">
        <v>148</v>
      </c>
      <c r="C131" s="7"/>
      <c r="D131" s="7" t="s">
        <v>2245</v>
      </c>
      <c r="E131" s="180" t="s">
        <v>149</v>
      </c>
      <c r="F131" t="s">
        <v>2006</v>
      </c>
      <c r="G131" s="189">
        <v>52</v>
      </c>
    </row>
    <row r="132" spans="1:7">
      <c r="A132" t="s">
        <v>1565</v>
      </c>
      <c r="B132" t="s">
        <v>150</v>
      </c>
      <c r="C132" s="7"/>
      <c r="D132" s="7" t="s">
        <v>2245</v>
      </c>
      <c r="E132" s="180" t="s">
        <v>151</v>
      </c>
      <c r="F132" t="s">
        <v>2006</v>
      </c>
      <c r="G132" s="189">
        <v>53</v>
      </c>
    </row>
    <row r="133" spans="1:7">
      <c r="A133" t="s">
        <v>1566</v>
      </c>
      <c r="B133" t="s">
        <v>38</v>
      </c>
      <c r="C133" s="7" t="s">
        <v>818</v>
      </c>
      <c r="D133" t="s">
        <v>2245</v>
      </c>
      <c r="E133" s="180" t="s">
        <v>758</v>
      </c>
      <c r="F133" t="s">
        <v>2006</v>
      </c>
      <c r="G133" s="189">
        <v>1</v>
      </c>
    </row>
    <row r="134" spans="1:7">
      <c r="A134" t="s">
        <v>1566</v>
      </c>
      <c r="B134" t="s">
        <v>452</v>
      </c>
      <c r="C134" s="7" t="s">
        <v>1810</v>
      </c>
      <c r="D134" t="s">
        <v>2426</v>
      </c>
      <c r="E134" s="180" t="s">
        <v>759</v>
      </c>
      <c r="F134" t="s">
        <v>2187</v>
      </c>
      <c r="G134" s="189">
        <v>2</v>
      </c>
    </row>
    <row r="135" spans="1:7">
      <c r="A135" t="s">
        <v>1566</v>
      </c>
      <c r="B135" t="s">
        <v>1811</v>
      </c>
      <c r="C135" t="s">
        <v>2618</v>
      </c>
      <c r="D135" t="s">
        <v>2245</v>
      </c>
      <c r="E135" s="180" t="s">
        <v>760</v>
      </c>
      <c r="F135" t="s">
        <v>2006</v>
      </c>
      <c r="G135" s="189">
        <v>3</v>
      </c>
    </row>
    <row r="136" spans="1:7">
      <c r="A136" t="s">
        <v>1566</v>
      </c>
      <c r="B136" t="s">
        <v>2467</v>
      </c>
      <c r="D136" t="s">
        <v>2426</v>
      </c>
      <c r="E136" s="180" t="s">
        <v>761</v>
      </c>
      <c r="F136" t="s">
        <v>2187</v>
      </c>
      <c r="G136" s="189">
        <v>4</v>
      </c>
    </row>
    <row r="137" spans="1:7">
      <c r="A137" t="s">
        <v>1566</v>
      </c>
      <c r="B137" t="s">
        <v>2612</v>
      </c>
      <c r="C137" t="s">
        <v>2613</v>
      </c>
      <c r="D137" t="s">
        <v>2426</v>
      </c>
      <c r="E137" s="180" t="s">
        <v>762</v>
      </c>
      <c r="F137" t="s">
        <v>2187</v>
      </c>
      <c r="G137" s="189">
        <v>5</v>
      </c>
    </row>
    <row r="138" spans="1:7">
      <c r="A138" t="s">
        <v>1566</v>
      </c>
      <c r="B138" t="s">
        <v>454</v>
      </c>
      <c r="C138" s="7" t="s">
        <v>453</v>
      </c>
      <c r="D138" t="s">
        <v>2259</v>
      </c>
      <c r="E138" s="180" t="s">
        <v>763</v>
      </c>
      <c r="F138" t="s">
        <v>2020</v>
      </c>
      <c r="G138" s="189">
        <v>6</v>
      </c>
    </row>
    <row r="139" spans="1:7">
      <c r="A139" t="s">
        <v>1566</v>
      </c>
      <c r="B139" t="s">
        <v>458</v>
      </c>
      <c r="C139" s="7"/>
      <c r="D139" t="s">
        <v>2426</v>
      </c>
      <c r="E139" s="180" t="s">
        <v>459</v>
      </c>
      <c r="F139" s="180" t="s">
        <v>2187</v>
      </c>
      <c r="G139" s="189">
        <v>16</v>
      </c>
    </row>
    <row r="140" spans="1:7">
      <c r="A140" t="s">
        <v>1566</v>
      </c>
      <c r="B140" t="s">
        <v>144</v>
      </c>
      <c r="D140" t="s">
        <v>2245</v>
      </c>
      <c r="E140" s="180" t="s">
        <v>764</v>
      </c>
      <c r="F140" t="s">
        <v>2006</v>
      </c>
      <c r="G140" s="189">
        <v>7</v>
      </c>
    </row>
    <row r="141" spans="1:7">
      <c r="A141" t="s">
        <v>1566</v>
      </c>
      <c r="B141" t="s">
        <v>455</v>
      </c>
      <c r="C141" t="s">
        <v>1812</v>
      </c>
      <c r="D141" t="s">
        <v>2313</v>
      </c>
      <c r="E141" s="180" t="s">
        <v>765</v>
      </c>
      <c r="F141" t="s">
        <v>2074</v>
      </c>
      <c r="G141" s="189">
        <v>8</v>
      </c>
    </row>
    <row r="142" spans="1:7">
      <c r="A142" t="s">
        <v>1566</v>
      </c>
      <c r="B142" t="s">
        <v>2609</v>
      </c>
      <c r="C142" s="7" t="s">
        <v>819</v>
      </c>
      <c r="D142" t="s">
        <v>2245</v>
      </c>
      <c r="E142" s="180" t="s">
        <v>766</v>
      </c>
      <c r="F142" t="s">
        <v>2006</v>
      </c>
      <c r="G142" s="189">
        <v>9</v>
      </c>
    </row>
    <row r="143" spans="1:7">
      <c r="A143" t="s">
        <v>1566</v>
      </c>
      <c r="B143" t="s">
        <v>41</v>
      </c>
      <c r="C143" s="7" t="s">
        <v>1813</v>
      </c>
      <c r="D143" t="s">
        <v>2426</v>
      </c>
      <c r="E143" s="180" t="s">
        <v>767</v>
      </c>
      <c r="F143" t="s">
        <v>2187</v>
      </c>
      <c r="G143" s="189">
        <v>10</v>
      </c>
    </row>
    <row r="144" spans="1:7">
      <c r="A144" t="s">
        <v>1566</v>
      </c>
      <c r="B144" t="s">
        <v>1814</v>
      </c>
      <c r="C144" t="s">
        <v>1113</v>
      </c>
      <c r="D144" t="s">
        <v>2219</v>
      </c>
      <c r="E144" s="180" t="s">
        <v>768</v>
      </c>
      <c r="F144" t="s">
        <v>1980</v>
      </c>
      <c r="G144" s="189">
        <v>11</v>
      </c>
    </row>
    <row r="145" spans="1:7">
      <c r="A145" t="s">
        <v>1566</v>
      </c>
      <c r="B145" t="s">
        <v>460</v>
      </c>
      <c r="D145" t="s">
        <v>2245</v>
      </c>
      <c r="E145" s="180" t="s">
        <v>461</v>
      </c>
      <c r="F145" s="180" t="s">
        <v>2006</v>
      </c>
      <c r="G145" s="189">
        <v>17</v>
      </c>
    </row>
    <row r="146" spans="1:7">
      <c r="A146" t="s">
        <v>1566</v>
      </c>
      <c r="B146" t="s">
        <v>456</v>
      </c>
      <c r="C146" t="s">
        <v>1815</v>
      </c>
      <c r="D146" t="s">
        <v>2384</v>
      </c>
      <c r="E146" s="180" t="s">
        <v>769</v>
      </c>
      <c r="F146" t="s">
        <v>2145</v>
      </c>
      <c r="G146" s="189">
        <v>12</v>
      </c>
    </row>
    <row r="147" spans="1:7">
      <c r="A147" t="s">
        <v>1566</v>
      </c>
      <c r="B147" t="s">
        <v>465</v>
      </c>
      <c r="D147" t="s">
        <v>2426</v>
      </c>
      <c r="E147" s="180" t="s">
        <v>466</v>
      </c>
      <c r="F147" s="180" t="s">
        <v>2187</v>
      </c>
      <c r="G147" s="189">
        <v>18</v>
      </c>
    </row>
    <row r="148" spans="1:7">
      <c r="A148" t="s">
        <v>1566</v>
      </c>
      <c r="B148" t="s">
        <v>2469</v>
      </c>
      <c r="D148" t="s">
        <v>2314</v>
      </c>
      <c r="E148" s="180" t="s">
        <v>770</v>
      </c>
      <c r="F148" t="s">
        <v>2075</v>
      </c>
      <c r="G148" s="189">
        <v>14</v>
      </c>
    </row>
    <row r="149" spans="1:7">
      <c r="A149" t="s">
        <v>1566</v>
      </c>
      <c r="B149" t="s">
        <v>2610</v>
      </c>
      <c r="C149" t="s">
        <v>1114</v>
      </c>
      <c r="D149" t="s">
        <v>2245</v>
      </c>
      <c r="E149" s="180" t="s">
        <v>771</v>
      </c>
      <c r="F149" t="s">
        <v>2006</v>
      </c>
      <c r="G149" s="189">
        <v>15</v>
      </c>
    </row>
    <row r="150" spans="1:7">
      <c r="A150" t="s">
        <v>1566</v>
      </c>
      <c r="B150" t="s">
        <v>67</v>
      </c>
      <c r="D150" t="s">
        <v>2245</v>
      </c>
      <c r="E150" s="180" t="s">
        <v>66</v>
      </c>
      <c r="F150" t="s">
        <v>2006</v>
      </c>
      <c r="G150" s="189">
        <v>16</v>
      </c>
    </row>
    <row r="151" spans="1:7">
      <c r="A151" s="163" t="s">
        <v>1567</v>
      </c>
      <c r="B151" s="220" t="s">
        <v>68</v>
      </c>
      <c r="C151" s="82" t="s">
        <v>69</v>
      </c>
      <c r="D151" s="163" t="s">
        <v>2426</v>
      </c>
      <c r="E151" s="221" t="s">
        <v>772</v>
      </c>
      <c r="F151" t="s">
        <v>2187</v>
      </c>
      <c r="G151" s="189">
        <v>1</v>
      </c>
    </row>
    <row r="152" spans="1:7">
      <c r="A152" s="163" t="s">
        <v>1567</v>
      </c>
      <c r="B152" s="206" t="s">
        <v>1817</v>
      </c>
      <c r="C152" s="163" t="s">
        <v>70</v>
      </c>
      <c r="D152" s="163" t="s">
        <v>2245</v>
      </c>
      <c r="E152" s="221" t="s">
        <v>773</v>
      </c>
      <c r="F152" t="s">
        <v>2006</v>
      </c>
      <c r="G152" s="189">
        <v>2</v>
      </c>
    </row>
    <row r="153" spans="1:7">
      <c r="A153" s="163" t="s">
        <v>1567</v>
      </c>
      <c r="B153" s="206" t="s">
        <v>71</v>
      </c>
      <c r="C153" s="220" t="s">
        <v>121</v>
      </c>
      <c r="D153" s="163" t="s">
        <v>2245</v>
      </c>
      <c r="E153" s="221" t="s">
        <v>774</v>
      </c>
      <c r="F153" t="s">
        <v>2006</v>
      </c>
      <c r="G153" s="189">
        <v>3</v>
      </c>
    </row>
    <row r="154" spans="1:7">
      <c r="A154" s="163" t="s">
        <v>1567</v>
      </c>
      <c r="B154" s="206" t="s">
        <v>2474</v>
      </c>
      <c r="C154" s="163" t="s">
        <v>72</v>
      </c>
      <c r="D154" s="163" t="s">
        <v>2245</v>
      </c>
      <c r="E154" s="221" t="s">
        <v>775</v>
      </c>
      <c r="F154" t="s">
        <v>2006</v>
      </c>
      <c r="G154" s="189">
        <v>4</v>
      </c>
    </row>
    <row r="155" spans="1:7">
      <c r="A155" s="163" t="s">
        <v>1567</v>
      </c>
      <c r="B155" s="206" t="s">
        <v>1818</v>
      </c>
      <c r="C155" s="220" t="s">
        <v>73</v>
      </c>
      <c r="D155" s="163" t="s">
        <v>2426</v>
      </c>
      <c r="E155" s="221" t="s">
        <v>776</v>
      </c>
      <c r="F155" t="s">
        <v>2187</v>
      </c>
      <c r="G155" s="189">
        <v>7</v>
      </c>
    </row>
    <row r="156" spans="1:7">
      <c r="A156" s="163" t="s">
        <v>1567</v>
      </c>
      <c r="B156" s="206" t="s">
        <v>2471</v>
      </c>
      <c r="C156" s="82" t="s">
        <v>74</v>
      </c>
      <c r="D156" s="163" t="s">
        <v>2259</v>
      </c>
      <c r="E156" s="221" t="s">
        <v>777</v>
      </c>
      <c r="F156" t="s">
        <v>2020</v>
      </c>
      <c r="G156" s="189">
        <v>8</v>
      </c>
    </row>
    <row r="157" spans="1:7">
      <c r="A157" s="163" t="s">
        <v>1567</v>
      </c>
      <c r="B157" s="206" t="s">
        <v>1819</v>
      </c>
      <c r="C157" s="82" t="s">
        <v>132</v>
      </c>
      <c r="D157" s="163" t="s">
        <v>2245</v>
      </c>
      <c r="E157" s="221" t="s">
        <v>778</v>
      </c>
      <c r="F157" t="s">
        <v>2006</v>
      </c>
      <c r="G157" s="189">
        <v>9</v>
      </c>
    </row>
    <row r="158" spans="1:7">
      <c r="A158" s="163" t="s">
        <v>1567</v>
      </c>
      <c r="B158" s="206" t="s">
        <v>145</v>
      </c>
      <c r="C158" s="220" t="s">
        <v>75</v>
      </c>
      <c r="D158" s="163" t="s">
        <v>2245</v>
      </c>
      <c r="E158" s="221" t="s">
        <v>779</v>
      </c>
      <c r="F158" t="s">
        <v>2006</v>
      </c>
      <c r="G158" s="189">
        <v>10</v>
      </c>
    </row>
    <row r="159" spans="1:7">
      <c r="A159" s="163" t="s">
        <v>1567</v>
      </c>
      <c r="B159" s="206" t="s">
        <v>2472</v>
      </c>
      <c r="C159" s="82" t="s">
        <v>76</v>
      </c>
      <c r="D159" s="163" t="s">
        <v>2219</v>
      </c>
      <c r="E159" s="221" t="s">
        <v>780</v>
      </c>
      <c r="F159" t="s">
        <v>1980</v>
      </c>
      <c r="G159" s="189">
        <v>12</v>
      </c>
    </row>
    <row r="160" spans="1:7">
      <c r="A160" s="163" t="s">
        <v>1567</v>
      </c>
      <c r="B160" s="206" t="s">
        <v>2473</v>
      </c>
      <c r="C160" s="163" t="s">
        <v>77</v>
      </c>
      <c r="D160" s="163" t="s">
        <v>2384</v>
      </c>
      <c r="E160" s="221" t="s">
        <v>781</v>
      </c>
      <c r="F160" t="s">
        <v>2145</v>
      </c>
      <c r="G160" s="189">
        <v>13</v>
      </c>
    </row>
    <row r="161" spans="1:7">
      <c r="A161" s="163" t="s">
        <v>1567</v>
      </c>
      <c r="B161" s="220" t="s">
        <v>1821</v>
      </c>
      <c r="C161" s="82" t="s">
        <v>78</v>
      </c>
      <c r="D161" s="163" t="s">
        <v>2245</v>
      </c>
      <c r="E161" s="221" t="s">
        <v>782</v>
      </c>
      <c r="F161" t="s">
        <v>2006</v>
      </c>
      <c r="G161" s="189">
        <v>14</v>
      </c>
    </row>
    <row r="162" spans="1:7">
      <c r="A162" s="163" t="s">
        <v>1567</v>
      </c>
      <c r="B162" s="220" t="s">
        <v>79</v>
      </c>
      <c r="C162" s="82" t="s">
        <v>80</v>
      </c>
      <c r="D162" s="82" t="s">
        <v>2245</v>
      </c>
      <c r="E162" s="221" t="s">
        <v>81</v>
      </c>
      <c r="F162" t="s">
        <v>2006</v>
      </c>
      <c r="G162" s="189">
        <v>15</v>
      </c>
    </row>
    <row r="163" spans="1:7">
      <c r="A163" s="163" t="s">
        <v>1567</v>
      </c>
      <c r="B163" s="206" t="s">
        <v>82</v>
      </c>
      <c r="C163" s="82" t="s">
        <v>83</v>
      </c>
      <c r="D163" s="82" t="s">
        <v>2245</v>
      </c>
      <c r="E163" s="221" t="s">
        <v>84</v>
      </c>
      <c r="F163" t="s">
        <v>2006</v>
      </c>
      <c r="G163" s="189">
        <v>16</v>
      </c>
    </row>
    <row r="164" spans="1:7">
      <c r="A164" s="163" t="s">
        <v>1567</v>
      </c>
      <c r="B164" s="220" t="s">
        <v>85</v>
      </c>
      <c r="C164" s="82" t="s">
        <v>86</v>
      </c>
      <c r="D164" s="82" t="s">
        <v>87</v>
      </c>
      <c r="E164" s="221" t="s">
        <v>88</v>
      </c>
      <c r="F164" t="s">
        <v>2074</v>
      </c>
      <c r="G164" s="189">
        <v>17</v>
      </c>
    </row>
    <row r="165" spans="1:7">
      <c r="A165" s="163" t="s">
        <v>1567</v>
      </c>
      <c r="B165" s="220" t="s">
        <v>89</v>
      </c>
      <c r="C165" s="220" t="s">
        <v>90</v>
      </c>
      <c r="D165" s="82" t="s">
        <v>2245</v>
      </c>
      <c r="E165" s="221" t="s">
        <v>91</v>
      </c>
      <c r="F165" t="s">
        <v>2006</v>
      </c>
      <c r="G165" s="189">
        <v>18</v>
      </c>
    </row>
    <row r="166" spans="1:7">
      <c r="A166" s="163" t="s">
        <v>1567</v>
      </c>
      <c r="B166" s="220" t="s">
        <v>154</v>
      </c>
      <c r="C166" s="220" t="s">
        <v>155</v>
      </c>
      <c r="D166" s="220" t="s">
        <v>156</v>
      </c>
      <c r="E166" s="222" t="s">
        <v>157</v>
      </c>
      <c r="F166" s="222" t="s">
        <v>2194</v>
      </c>
      <c r="G166" s="189">
        <v>19</v>
      </c>
    </row>
    <row r="167" spans="1:7">
      <c r="G167" s="189"/>
    </row>
    <row r="168" spans="1:7">
      <c r="G168" s="189"/>
    </row>
    <row r="169" spans="1:7">
      <c r="G169" s="189"/>
    </row>
    <row r="170" spans="1:7">
      <c r="G170" s="189"/>
    </row>
    <row r="171" spans="1:7">
      <c r="G171" s="189"/>
    </row>
    <row r="172" spans="1:7">
      <c r="G172" s="189"/>
    </row>
    <row r="173" spans="1:7">
      <c r="G173" s="189"/>
    </row>
    <row r="174" spans="1:7">
      <c r="G174" s="189"/>
    </row>
    <row r="175" spans="1:7">
      <c r="G175" s="189"/>
    </row>
    <row r="176" spans="1:7">
      <c r="G176" s="189"/>
    </row>
    <row r="177" spans="7:7">
      <c r="G177" s="189"/>
    </row>
    <row r="178" spans="7:7">
      <c r="G178" s="189"/>
    </row>
    <row r="179" spans="7:7">
      <c r="G179" s="189"/>
    </row>
    <row r="180" spans="7:7">
      <c r="G180" s="189"/>
    </row>
    <row r="181" spans="7:7">
      <c r="G181" s="189"/>
    </row>
    <row r="182" spans="7:7">
      <c r="G182" s="189"/>
    </row>
    <row r="183" spans="7:7">
      <c r="G183" s="189"/>
    </row>
    <row r="184" spans="7:7">
      <c r="G184" s="189"/>
    </row>
    <row r="185" spans="7:7">
      <c r="G185" s="189"/>
    </row>
    <row r="186" spans="7:7">
      <c r="G186" s="189"/>
    </row>
    <row r="187" spans="7:7">
      <c r="G187" s="189"/>
    </row>
    <row r="188" spans="7:7">
      <c r="G188" s="189"/>
    </row>
    <row r="189" spans="7:7">
      <c r="G189" s="189"/>
    </row>
    <row r="190" spans="7:7">
      <c r="G190" s="189"/>
    </row>
    <row r="191" spans="7:7">
      <c r="G191" s="189"/>
    </row>
    <row r="192" spans="7:7">
      <c r="G192" s="189"/>
    </row>
    <row r="193" spans="7:7">
      <c r="G193" s="189"/>
    </row>
    <row r="194" spans="7:7">
      <c r="G194" s="189"/>
    </row>
    <row r="195" spans="7:7">
      <c r="G195" s="189"/>
    </row>
    <row r="196" spans="7:7">
      <c r="G196" s="189"/>
    </row>
    <row r="197" spans="7:7">
      <c r="G197" s="189"/>
    </row>
    <row r="198" spans="7:7">
      <c r="G198" s="189"/>
    </row>
    <row r="199" spans="7:7">
      <c r="G199" s="189"/>
    </row>
    <row r="200" spans="7:7">
      <c r="G200" s="189"/>
    </row>
    <row r="201" spans="7:7">
      <c r="G201" s="189"/>
    </row>
    <row r="202" spans="7:7">
      <c r="G202" s="189"/>
    </row>
    <row r="203" spans="7:7">
      <c r="G203" s="189"/>
    </row>
    <row r="204" spans="7:7">
      <c r="G204" s="189"/>
    </row>
    <row r="205" spans="7:7">
      <c r="G205" s="189"/>
    </row>
    <row r="206" spans="7:7">
      <c r="G206" s="189"/>
    </row>
    <row r="207" spans="7:7">
      <c r="G207" s="189"/>
    </row>
    <row r="208" spans="7:7">
      <c r="G208" s="189"/>
    </row>
    <row r="209" spans="7:7">
      <c r="G209" s="189"/>
    </row>
    <row r="210" spans="7:7">
      <c r="G210" s="189"/>
    </row>
    <row r="211" spans="7:7">
      <c r="G211" s="189"/>
    </row>
    <row r="212" spans="7:7">
      <c r="G212" s="189"/>
    </row>
    <row r="213" spans="7:7">
      <c r="G213" s="189"/>
    </row>
    <row r="214" spans="7:7">
      <c r="G214" s="189"/>
    </row>
    <row r="215" spans="7:7">
      <c r="G215" s="189"/>
    </row>
    <row r="216" spans="7:7">
      <c r="G216" s="189"/>
    </row>
    <row r="217" spans="7:7">
      <c r="G217" s="189"/>
    </row>
    <row r="218" spans="7:7">
      <c r="G218" s="189"/>
    </row>
    <row r="219" spans="7:7">
      <c r="G219" s="189"/>
    </row>
    <row r="220" spans="7:7">
      <c r="G220" s="189"/>
    </row>
    <row r="221" spans="7:7">
      <c r="G221" s="189"/>
    </row>
    <row r="222" spans="7:7">
      <c r="G222" s="189"/>
    </row>
    <row r="223" spans="7:7">
      <c r="G223" s="189"/>
    </row>
    <row r="224" spans="7:7">
      <c r="G224" s="189"/>
    </row>
    <row r="225" spans="7:7">
      <c r="G225" s="189"/>
    </row>
    <row r="226" spans="7:7">
      <c r="G226" s="189"/>
    </row>
    <row r="227" spans="7:7">
      <c r="G227" s="189"/>
    </row>
    <row r="228" spans="7:7">
      <c r="G228" s="189"/>
    </row>
    <row r="229" spans="7:7">
      <c r="G229" s="189"/>
    </row>
    <row r="230" spans="7:7">
      <c r="G230" s="189"/>
    </row>
    <row r="231" spans="7:7">
      <c r="G231" s="189"/>
    </row>
    <row r="232" spans="7:7">
      <c r="G232" s="189"/>
    </row>
    <row r="233" spans="7:7">
      <c r="G233" s="189"/>
    </row>
    <row r="234" spans="7:7">
      <c r="G234" s="189"/>
    </row>
    <row r="235" spans="7:7">
      <c r="G235" s="189"/>
    </row>
    <row r="236" spans="7:7">
      <c r="G236" s="189"/>
    </row>
    <row r="237" spans="7:7">
      <c r="G237" s="189"/>
    </row>
    <row r="238" spans="7:7">
      <c r="G238" s="189"/>
    </row>
    <row r="239" spans="7:7">
      <c r="G239" s="189"/>
    </row>
    <row r="240" spans="7:7">
      <c r="G240" s="189"/>
    </row>
    <row r="241" spans="7:7">
      <c r="G241" s="189"/>
    </row>
    <row r="242" spans="7:7">
      <c r="G242" s="189"/>
    </row>
    <row r="243" spans="7:7">
      <c r="G243" s="189"/>
    </row>
    <row r="244" spans="7:7">
      <c r="G244" s="189"/>
    </row>
    <row r="245" spans="7:7">
      <c r="G245" s="189"/>
    </row>
    <row r="246" spans="7:7">
      <c r="G246" s="189"/>
    </row>
    <row r="247" spans="7:7">
      <c r="G247" s="189"/>
    </row>
    <row r="248" spans="7:7">
      <c r="G248" s="189"/>
    </row>
    <row r="249" spans="7:7">
      <c r="G249" s="189"/>
    </row>
    <row r="250" spans="7:7">
      <c r="G250" s="189"/>
    </row>
    <row r="251" spans="7:7">
      <c r="G251" s="189"/>
    </row>
    <row r="252" spans="7:7">
      <c r="G252" s="189"/>
    </row>
    <row r="253" spans="7:7">
      <c r="G253" s="189"/>
    </row>
    <row r="254" spans="7:7">
      <c r="G254" s="189"/>
    </row>
    <row r="255" spans="7:7">
      <c r="G255" s="189"/>
    </row>
    <row r="256" spans="7:7">
      <c r="G256" s="189"/>
    </row>
    <row r="257" spans="7:7">
      <c r="G257" s="189"/>
    </row>
    <row r="258" spans="7:7">
      <c r="G258" s="189"/>
    </row>
    <row r="259" spans="7:7">
      <c r="G259" s="189"/>
    </row>
    <row r="260" spans="7:7">
      <c r="G260" s="189"/>
    </row>
    <row r="261" spans="7:7">
      <c r="G261" s="189"/>
    </row>
    <row r="262" spans="7:7">
      <c r="G262" s="189"/>
    </row>
    <row r="263" spans="7:7">
      <c r="G263" s="189"/>
    </row>
    <row r="264" spans="7:7">
      <c r="G264" s="189"/>
    </row>
    <row r="265" spans="7:7">
      <c r="G265" s="189"/>
    </row>
    <row r="266" spans="7:7">
      <c r="G266" s="189"/>
    </row>
    <row r="267" spans="7:7">
      <c r="G267" s="189"/>
    </row>
    <row r="268" spans="7:7">
      <c r="G268" s="189"/>
    </row>
    <row r="269" spans="7:7">
      <c r="G269" s="189"/>
    </row>
    <row r="270" spans="7:7">
      <c r="G270" s="189"/>
    </row>
    <row r="271" spans="7:7">
      <c r="G271" s="189"/>
    </row>
    <row r="272" spans="7:7">
      <c r="G272" s="189"/>
    </row>
    <row r="273" spans="7:7">
      <c r="G273" s="189"/>
    </row>
    <row r="274" spans="7:7">
      <c r="G274" s="189"/>
    </row>
    <row r="275" spans="7:7">
      <c r="G275" s="189"/>
    </row>
    <row r="276" spans="7:7">
      <c r="G276" s="189"/>
    </row>
    <row r="277" spans="7:7">
      <c r="G277" s="189"/>
    </row>
    <row r="278" spans="7:7">
      <c r="G278" s="189"/>
    </row>
    <row r="279" spans="7:7">
      <c r="G279" s="189"/>
    </row>
    <row r="280" spans="7:7">
      <c r="G280" s="189"/>
    </row>
    <row r="281" spans="7:7">
      <c r="G281" s="189"/>
    </row>
    <row r="282" spans="7:7">
      <c r="G282" s="189"/>
    </row>
    <row r="283" spans="7:7">
      <c r="G283" s="189"/>
    </row>
    <row r="284" spans="7:7">
      <c r="G284" s="189"/>
    </row>
    <row r="285" spans="7:7">
      <c r="G285" s="189"/>
    </row>
    <row r="286" spans="7:7">
      <c r="G286" s="189"/>
    </row>
    <row r="287" spans="7:7">
      <c r="G287" s="189"/>
    </row>
    <row r="288" spans="7:7">
      <c r="G288" s="189"/>
    </row>
    <row r="289" spans="7:7">
      <c r="G289" s="189"/>
    </row>
    <row r="290" spans="7:7">
      <c r="G290" s="189"/>
    </row>
    <row r="291" spans="7:7">
      <c r="G291" s="189"/>
    </row>
    <row r="292" spans="7:7">
      <c r="G292" s="189"/>
    </row>
    <row r="293" spans="7:7">
      <c r="G293" s="189"/>
    </row>
    <row r="294" spans="7:7">
      <c r="G294" s="189"/>
    </row>
    <row r="295" spans="7:7">
      <c r="G295" s="189"/>
    </row>
    <row r="296" spans="7:7">
      <c r="G296" s="189"/>
    </row>
    <row r="297" spans="7:7">
      <c r="G297" s="189"/>
    </row>
    <row r="298" spans="7:7">
      <c r="G298" s="189"/>
    </row>
    <row r="299" spans="7:7">
      <c r="G299" s="189"/>
    </row>
    <row r="300" spans="7:7">
      <c r="G300" s="189"/>
    </row>
    <row r="301" spans="7:7">
      <c r="G301" s="189"/>
    </row>
    <row r="302" spans="7:7">
      <c r="G302" s="189"/>
    </row>
    <row r="303" spans="7:7">
      <c r="G303" s="189"/>
    </row>
    <row r="304" spans="7:7">
      <c r="G304" s="189"/>
    </row>
    <row r="305" spans="7:7">
      <c r="G305" s="189"/>
    </row>
    <row r="306" spans="7:7">
      <c r="G306" s="189"/>
    </row>
    <row r="307" spans="7:7">
      <c r="G307" s="189"/>
    </row>
    <row r="308" spans="7:7">
      <c r="G308" s="189"/>
    </row>
    <row r="309" spans="7:7">
      <c r="G309" s="189"/>
    </row>
    <row r="310" spans="7:7">
      <c r="G310" s="189"/>
    </row>
    <row r="311" spans="7:7">
      <c r="G311" s="189"/>
    </row>
    <row r="312" spans="7:7">
      <c r="G312" s="189"/>
    </row>
    <row r="313" spans="7:7">
      <c r="G313" s="189"/>
    </row>
    <row r="314" spans="7:7">
      <c r="G314" s="189"/>
    </row>
    <row r="315" spans="7:7">
      <c r="G315" s="189"/>
    </row>
    <row r="316" spans="7:7">
      <c r="G316" s="189"/>
    </row>
    <row r="317" spans="7:7">
      <c r="G317" s="189"/>
    </row>
    <row r="318" spans="7:7">
      <c r="G318" s="189"/>
    </row>
    <row r="319" spans="7:7">
      <c r="G319" s="189"/>
    </row>
    <row r="320" spans="7:7">
      <c r="G320" s="189"/>
    </row>
    <row r="321" spans="7:7">
      <c r="G321" s="189"/>
    </row>
    <row r="322" spans="7:7">
      <c r="G322" s="189"/>
    </row>
    <row r="323" spans="7:7">
      <c r="G323" s="189"/>
    </row>
    <row r="324" spans="7:7">
      <c r="G324" s="189"/>
    </row>
    <row r="325" spans="7:7">
      <c r="G325" s="189"/>
    </row>
    <row r="326" spans="7:7">
      <c r="G326" s="189"/>
    </row>
    <row r="327" spans="7:7">
      <c r="G327" s="189"/>
    </row>
    <row r="328" spans="7:7">
      <c r="G328" s="189"/>
    </row>
    <row r="329" spans="7:7">
      <c r="G329" s="189"/>
    </row>
    <row r="330" spans="7:7">
      <c r="G330" s="189"/>
    </row>
    <row r="331" spans="7:7">
      <c r="G331" s="189"/>
    </row>
    <row r="332" spans="7:7">
      <c r="G332" s="189"/>
    </row>
    <row r="333" spans="7:7">
      <c r="G333" s="189"/>
    </row>
    <row r="334" spans="7:7">
      <c r="G334" s="189"/>
    </row>
    <row r="335" spans="7:7">
      <c r="G335" s="189"/>
    </row>
    <row r="336" spans="7:7">
      <c r="G336" s="189"/>
    </row>
    <row r="337" spans="7:7">
      <c r="G337" s="189"/>
    </row>
    <row r="338" spans="7:7">
      <c r="G338" s="189"/>
    </row>
    <row r="339" spans="7:7">
      <c r="G339" s="189"/>
    </row>
    <row r="340" spans="7:7">
      <c r="G340" s="189"/>
    </row>
    <row r="341" spans="7:7">
      <c r="G341" s="189"/>
    </row>
    <row r="342" spans="7:7">
      <c r="G342" s="189"/>
    </row>
    <row r="343" spans="7:7">
      <c r="G343" s="189"/>
    </row>
    <row r="344" spans="7:7">
      <c r="G344" s="189"/>
    </row>
    <row r="345" spans="7:7">
      <c r="G345" s="189"/>
    </row>
    <row r="346" spans="7:7">
      <c r="G346" s="189"/>
    </row>
    <row r="347" spans="7:7">
      <c r="G347" s="189"/>
    </row>
    <row r="348" spans="7:7">
      <c r="G348" s="189"/>
    </row>
    <row r="349" spans="7:7">
      <c r="G349" s="189"/>
    </row>
    <row r="350" spans="7:7">
      <c r="G350" s="189"/>
    </row>
    <row r="351" spans="7:7">
      <c r="G351" s="189"/>
    </row>
    <row r="352" spans="7:7">
      <c r="G352" s="189"/>
    </row>
    <row r="353" spans="7:7">
      <c r="G353" s="189"/>
    </row>
    <row r="354" spans="7:7">
      <c r="G354" s="189"/>
    </row>
    <row r="355" spans="7:7">
      <c r="G355" s="189"/>
    </row>
    <row r="356" spans="7:7">
      <c r="G356" s="189"/>
    </row>
    <row r="357" spans="7:7">
      <c r="G357" s="189"/>
    </row>
    <row r="358" spans="7:7">
      <c r="G358" s="189"/>
    </row>
    <row r="359" spans="7:7">
      <c r="G359" s="189"/>
    </row>
    <row r="360" spans="7:7">
      <c r="G360" s="189"/>
    </row>
    <row r="361" spans="7:7">
      <c r="G361" s="189"/>
    </row>
    <row r="362" spans="7:7">
      <c r="G362" s="189"/>
    </row>
    <row r="363" spans="7:7">
      <c r="G363" s="189"/>
    </row>
    <row r="364" spans="7:7">
      <c r="G364" s="189"/>
    </row>
    <row r="365" spans="7:7">
      <c r="G365" s="189"/>
    </row>
    <row r="366" spans="7:7">
      <c r="G366" s="189"/>
    </row>
    <row r="367" spans="7:7">
      <c r="G367" s="189"/>
    </row>
    <row r="368" spans="7:7">
      <c r="G368" s="189"/>
    </row>
    <row r="369" spans="7:7">
      <c r="G369" s="189"/>
    </row>
    <row r="370" spans="7:7">
      <c r="G370" s="189"/>
    </row>
    <row r="371" spans="7:7">
      <c r="G371" s="189"/>
    </row>
    <row r="372" spans="7:7">
      <c r="G372" s="189"/>
    </row>
    <row r="373" spans="7:7">
      <c r="G373" s="189"/>
    </row>
    <row r="374" spans="7:7">
      <c r="G374" s="189"/>
    </row>
    <row r="375" spans="7:7">
      <c r="G375" s="189"/>
    </row>
    <row r="376" spans="7:7">
      <c r="G376" s="189"/>
    </row>
    <row r="377" spans="7:7">
      <c r="G377" s="189"/>
    </row>
    <row r="378" spans="7:7">
      <c r="G378" s="189"/>
    </row>
    <row r="379" spans="7:7">
      <c r="G379" s="189"/>
    </row>
    <row r="380" spans="7:7">
      <c r="G380" s="189"/>
    </row>
    <row r="381" spans="7:7">
      <c r="G381" s="189"/>
    </row>
    <row r="382" spans="7:7">
      <c r="G382" s="189"/>
    </row>
    <row r="383" spans="7:7">
      <c r="G383" s="189"/>
    </row>
    <row r="384" spans="7:7">
      <c r="G384" s="189"/>
    </row>
    <row r="385" spans="7:7">
      <c r="G385" s="189"/>
    </row>
    <row r="386" spans="7:7">
      <c r="G386" s="189"/>
    </row>
    <row r="387" spans="7:7">
      <c r="G387" s="189"/>
    </row>
    <row r="388" spans="7:7">
      <c r="G388" s="189"/>
    </row>
    <row r="389" spans="7:7">
      <c r="G389" s="189"/>
    </row>
    <row r="390" spans="7:7">
      <c r="G390" s="189"/>
    </row>
    <row r="391" spans="7:7">
      <c r="G391" s="189"/>
    </row>
    <row r="392" spans="7:7">
      <c r="G392" s="189"/>
    </row>
    <row r="393" spans="7:7">
      <c r="G393" s="189"/>
    </row>
    <row r="394" spans="7:7">
      <c r="G394" s="189"/>
    </row>
    <row r="395" spans="7:7">
      <c r="G395" s="189"/>
    </row>
    <row r="396" spans="7:7">
      <c r="G396" s="189"/>
    </row>
    <row r="397" spans="7:7">
      <c r="G397" s="189"/>
    </row>
    <row r="398" spans="7:7">
      <c r="G398" s="189"/>
    </row>
    <row r="399" spans="7:7">
      <c r="G399" s="189"/>
    </row>
    <row r="400" spans="7:7">
      <c r="G400" s="189"/>
    </row>
    <row r="401" spans="7:7">
      <c r="G401" s="189"/>
    </row>
    <row r="402" spans="7:7">
      <c r="G402" s="189"/>
    </row>
    <row r="403" spans="7:7">
      <c r="G403" s="189"/>
    </row>
    <row r="404" spans="7:7">
      <c r="G404" s="189"/>
    </row>
    <row r="405" spans="7:7">
      <c r="G405" s="189"/>
    </row>
    <row r="406" spans="7:7">
      <c r="G406" s="189"/>
    </row>
    <row r="407" spans="7:7">
      <c r="G407" s="189"/>
    </row>
    <row r="408" spans="7:7">
      <c r="G408" s="189"/>
    </row>
    <row r="409" spans="7:7">
      <c r="G409" s="189"/>
    </row>
    <row r="410" spans="7:7">
      <c r="G410" s="189"/>
    </row>
    <row r="411" spans="7:7">
      <c r="G411" s="189"/>
    </row>
    <row r="412" spans="7:7">
      <c r="G412" s="189"/>
    </row>
    <row r="413" spans="7:7">
      <c r="G413" s="189"/>
    </row>
    <row r="414" spans="7:7">
      <c r="G414" s="189"/>
    </row>
    <row r="415" spans="7:7">
      <c r="G415" s="189"/>
    </row>
    <row r="416" spans="7:7">
      <c r="G416" s="189"/>
    </row>
    <row r="417" spans="7:7">
      <c r="G417" s="189"/>
    </row>
    <row r="418" spans="7:7">
      <c r="G418" s="189"/>
    </row>
    <row r="419" spans="7:7">
      <c r="G419" s="189"/>
    </row>
    <row r="420" spans="7:7">
      <c r="G420" s="189"/>
    </row>
    <row r="421" spans="7:7">
      <c r="G421" s="189"/>
    </row>
    <row r="422" spans="7:7">
      <c r="G422" s="189"/>
    </row>
    <row r="423" spans="7:7">
      <c r="G423" s="189"/>
    </row>
    <row r="424" spans="7:7">
      <c r="G424" s="189"/>
    </row>
    <row r="425" spans="7:7">
      <c r="G425" s="189"/>
    </row>
    <row r="426" spans="7:7">
      <c r="G426" s="189"/>
    </row>
    <row r="427" spans="7:7">
      <c r="G427" s="189"/>
    </row>
    <row r="428" spans="7:7">
      <c r="G428" s="189"/>
    </row>
    <row r="429" spans="7:7">
      <c r="G429" s="189"/>
    </row>
    <row r="430" spans="7:7">
      <c r="G430" s="189"/>
    </row>
    <row r="431" spans="7:7">
      <c r="G431" s="189"/>
    </row>
    <row r="432" spans="7:7">
      <c r="G432" s="189"/>
    </row>
    <row r="433" spans="7:7">
      <c r="G433" s="189"/>
    </row>
    <row r="434" spans="7:7">
      <c r="G434" s="189"/>
    </row>
    <row r="435" spans="7:7">
      <c r="G435" s="189"/>
    </row>
    <row r="436" spans="7:7">
      <c r="G436" s="189"/>
    </row>
    <row r="437" spans="7:7">
      <c r="G437" s="189"/>
    </row>
    <row r="438" spans="7:7">
      <c r="G438" s="189"/>
    </row>
    <row r="439" spans="7:7">
      <c r="G439" s="189"/>
    </row>
    <row r="440" spans="7:7">
      <c r="G440" s="189"/>
    </row>
    <row r="441" spans="7:7">
      <c r="G441" s="189"/>
    </row>
  </sheetData>
  <sheetProtection password="C453" sheet="1" objects="1" scenarios="1"/>
  <mergeCells count="1">
    <mergeCell ref="A1:D1"/>
  </mergeCells>
  <phoneticPr fontId="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1"/>
  <dimension ref="A1:K108"/>
  <sheetViews>
    <sheetView showZeros="0" topLeftCell="B1" workbookViewId="0">
      <pane ySplit="3" topLeftCell="A4" activePane="bottomLeft" state="frozen"/>
      <selection pane="bottomLeft" activeCell="D2" sqref="D2"/>
    </sheetView>
  </sheetViews>
  <sheetFormatPr baseColWidth="10" defaultColWidth="8.75" defaultRowHeight="12.75"/>
  <cols>
    <col min="1" max="1" width="45.125" style="79" customWidth="1"/>
    <col min="2" max="2" width="42.75" style="124" bestFit="1" customWidth="1"/>
    <col min="3" max="3" width="51.5" style="79" customWidth="1"/>
    <col min="4" max="4" width="26.625" style="124" bestFit="1" customWidth="1"/>
    <col min="5" max="5" width="8.75" style="79"/>
    <col min="6" max="6" width="13.5" style="79" hidden="1" customWidth="1"/>
    <col min="7" max="7" width="13.375" style="79" hidden="1" customWidth="1"/>
    <col min="8" max="11" width="9" style="79" hidden="1" customWidth="1"/>
    <col min="12" max="16384" width="8.75" style="79"/>
  </cols>
  <sheetData>
    <row r="1" spans="1:11" ht="30" customHeight="1">
      <c r="A1" s="314" t="str">
        <f ca="1">IF(Declaration!$D$3="English",A104,IF(Declaration!$D$3="中文 Chinese",B104,IF(Declaration!$D$3="日本語 Japanese",C104,IF(Declaration!$D$3="한국어 Korean",D104,IF(Declaration!$D$3="Français",E104,IF(Declaration!$D$3="Português",F99,IF(Declaration!$D$3="Deutsch",G99,IF(Declaration!$D$3="Español",H99))))))))</f>
        <v>To ensure all required fields have been populated before submitting to your customers review form for any line items highlighted in red</v>
      </c>
      <c r="B1" s="314"/>
      <c r="C1" s="314"/>
      <c r="D1" s="112" t="str">
        <f ca="1">IF(Declaration!$D$3="English",A105,IF(Declaration!$D$3="中文 Chinese",B105,IF(Declaration!$D$3="日本語 Japanese",C105,IF(Declaration!$D$3="한국어 Korean",D105,IF(Declaration!$D$3="Français",E105,IF(Declaration!$D$3="Português",F100,IF(Declaration!$D$3="Deutsch",G100,IF(Declaration!$D$3="Español",H100))))))))</f>
        <v>Required fields remaining to be completed</v>
      </c>
    </row>
    <row r="2" spans="1:11" ht="14.25">
      <c r="A2" s="113" t="s">
        <v>2448</v>
      </c>
      <c r="B2" s="200" t="str">
        <f ca="1">IF(Declaration!N27&gt;0,"Click here to return to Smelter List","")</f>
        <v>Click here to return to Smelter List</v>
      </c>
      <c r="C2" s="113" t="str">
        <f ca="1">IF(Declaration!D9=Declaration!B129,"Click here to return to Product List","")</f>
        <v/>
      </c>
      <c r="D2" s="114" t="e">
        <f ca="1">F56-F52</f>
        <v>#VALUE!</v>
      </c>
      <c r="F2" s="115" t="s">
        <v>2453</v>
      </c>
      <c r="G2" s="115" t="s">
        <v>2453</v>
      </c>
      <c r="H2" s="115" t="s">
        <v>2453</v>
      </c>
      <c r="I2" s="115" t="s">
        <v>2453</v>
      </c>
      <c r="J2" s="115" t="s">
        <v>2453</v>
      </c>
      <c r="K2" s="115" t="s">
        <v>2453</v>
      </c>
    </row>
    <row r="3" spans="1:11">
      <c r="A3" s="97" t="str">
        <f ca="1">IF(Declaration!$D$3="English",A106,IF(Declaration!$D$3="中文 Chinese",B106,IF(Declaration!$D$3="日本語 Japanese",C106,IF(Declaration!$D$3="한국어 Korean",D106,IF(Declaration!$D$3="Français",E106,IF(Declaration!$D$3="Português",F101,IF(Declaration!$D$3="Deutsch",G101,IF(Declaration!$D$3="Español",H101))))))))</f>
        <v>Required Fields</v>
      </c>
      <c r="B3" s="116" t="str">
        <f ca="1">IF(Declaration!$D$3="English",A107,IF(Declaration!$D$3="中文 Chinese",B107,IF(Declaration!$D$3="日本語 Japanese",C107,IF(Declaration!$D$3="한국어 Korean",D107,IF(Declaration!$D$3="Français",E107,IF(Declaration!$D$3="Português",F102,IF(Declaration!$D$3="Deutsch",G102,IF(Declaration!$D$3="Español",H102))))))))</f>
        <v>Answer provided</v>
      </c>
      <c r="C3" s="97" t="str">
        <f ca="1">IF(Declaration!$D$3="English",A108,IF(Declaration!$D$3="中文 Chinese",B108,IF(Declaration!$D$3="日本語 Japanese",C108,IF(Declaration!$D$3="한국어 Korean",D108,IF(Declaration!$D$3="Français",E108,IF(Declaration!$D$3="Português",F103,IF(Declaration!$D$3="Deutsch",G103,IF(Declaration!$D$3="Español",H103))))))))</f>
        <v>Notes</v>
      </c>
      <c r="D3" s="116" t="s">
        <v>2446</v>
      </c>
      <c r="F3" s="115" t="s">
        <v>2449</v>
      </c>
    </row>
    <row r="4" spans="1:11">
      <c r="A4" s="117" t="str">
        <f ca="1">Declaration!B8</f>
        <v>Company Name (*):</v>
      </c>
      <c r="B4" s="118" t="str">
        <f ca="1">Declaration!D8</f>
        <v>Vitesse Semiconductor Corporation</v>
      </c>
      <c r="C4" s="118" t="str">
        <f ca="1">IF(Declaration!D8="","Must provide your company name on the declaration tab cell D7","Completed")</f>
        <v>Completed</v>
      </c>
      <c r="D4" s="119" t="str">
        <f ca="1">IF(C4="Completed","","Click here to enter Company Name")</f>
        <v/>
      </c>
      <c r="F4" s="79">
        <f ca="1">IF(C4="Completed",1,0)</f>
        <v>1</v>
      </c>
    </row>
    <row r="5" spans="1:11">
      <c r="A5" s="117" t="str">
        <f ca="1">Declaration!B9</f>
        <v>Declaration Scope (*):</v>
      </c>
      <c r="B5" s="118" t="str">
        <f ca="1">Declaration!D9</f>
        <v>A. Company Level</v>
      </c>
      <c r="C5" s="118" t="str">
        <f ca="1">IF(Declaration!D9="","Must determine the scope of declaration on the declaration tab cell D8","Completed")</f>
        <v>Completed</v>
      </c>
      <c r="D5" s="119" t="str">
        <f ca="1">IF(C5="Completed","","Click here to enter Declaration Scope")</f>
        <v/>
      </c>
      <c r="F5" s="79">
        <f t="shared" ref="F5:F50" si="0">IF(C5="Completed",1,0)</f>
        <v>1</v>
      </c>
    </row>
    <row r="6" spans="1:11" ht="25.5">
      <c r="A6" s="118" t="str">
        <f ca="1">Declaration!B10</f>
        <v>Description of Scope:</v>
      </c>
      <c r="B6" s="118">
        <f ca="1">Declaration!D10</f>
        <v>0</v>
      </c>
      <c r="C6" s="118" t="str">
        <f ca="1">IF(G6=1,"Completed","Must provide Description of Scope on Declaration tab cell D9")</f>
        <v>Must provide Description of Scope on Declaration tab cell D9</v>
      </c>
      <c r="D6" s="119" t="str">
        <f ca="1">IF(A6="Description of Scope:","",IF(B5="D. Part/Product Level","",IF(C6="Completed","","Click here to provide a Description of Scope")))</f>
        <v/>
      </c>
      <c r="F6" s="79">
        <f t="shared" si="0"/>
        <v>0</v>
      </c>
      <c r="G6" s="115">
        <f ca="1">IF(Declaration!D10&lt;&gt;0,1,0)</f>
        <v>0</v>
      </c>
      <c r="H6" s="79">
        <f ca="1">Declaration!N12</f>
        <v>0</v>
      </c>
    </row>
    <row r="7" spans="1:11">
      <c r="A7" s="117" t="str">
        <f ca="1">Declaration!B14</f>
        <v>Authorized Company Representative Name (*):</v>
      </c>
      <c r="B7" s="118" t="str">
        <f ca="1">Declaration!D14</f>
        <v>Tara Prudhomme</v>
      </c>
      <c r="C7" s="118" t="str">
        <f ca="1">IF(Declaration!D14="","Must provide Authorized Company Representative contact name in Declaration tab cell D12","Completed")</f>
        <v>Completed</v>
      </c>
      <c r="D7" s="119" t="str">
        <f ca="1">IF(C7="Completed","","Click here to enter an Authorized Company Representative's name")</f>
        <v/>
      </c>
      <c r="E7" s="115"/>
      <c r="F7" s="79">
        <f t="shared" si="0"/>
        <v>1</v>
      </c>
    </row>
    <row r="8" spans="1:11">
      <c r="A8" s="117" t="str">
        <f ca="1">Declaration!B16</f>
        <v>Representative Email (*):</v>
      </c>
      <c r="B8" s="118" t="str">
        <f ca="1">Declaration!D16</f>
        <v>tara@vitesse.com</v>
      </c>
      <c r="C8" s="120" t="str">
        <f ca="1">IF(Declaration!D16="","Must provide an email for Authorized Company Representative on Declaration tab cell D14","Completed")</f>
        <v>Completed</v>
      </c>
      <c r="D8" s="119" t="str">
        <f ca="1">IF(C8="Completed","","Click here to enter Representative's email")</f>
        <v/>
      </c>
      <c r="F8" s="79">
        <f t="shared" si="0"/>
        <v>1</v>
      </c>
    </row>
    <row r="9" spans="1:11">
      <c r="A9" s="117" t="str">
        <f ca="1">Declaration!B18</f>
        <v>Date of Completion (*):</v>
      </c>
      <c r="B9" s="131">
        <f ca="1">Declaration!D18</f>
        <v>40053</v>
      </c>
      <c r="C9" s="118" t="str">
        <f ca="1">IF(Declaration!D18="","Must provide date the form was completed on Declaration tab cell D16","Completed")</f>
        <v>Completed</v>
      </c>
      <c r="D9" s="119" t="str">
        <f ca="1">IF(C9="Completed","","Click here to enter Date of Completion")</f>
        <v/>
      </c>
      <c r="F9" s="79">
        <f t="shared" si="0"/>
        <v>1</v>
      </c>
    </row>
    <row r="10" spans="1:11" ht="63.75">
      <c r="A10" s="121" t="str">
        <f ca="1">Declaration!B21</f>
        <v>1) Are any of the following metals necessary to the functionality or production of your company's products that it manufactures or contracts to manufacture? If no for all metals, you are done with this survey. (*)</v>
      </c>
      <c r="B10" s="122"/>
      <c r="C10" s="122"/>
      <c r="D10" s="122"/>
      <c r="G10" s="79">
        <f ca="1">IF(B11="No",1,0)</f>
        <v>0</v>
      </c>
    </row>
    <row r="11" spans="1:11">
      <c r="A11" s="123" t="str">
        <f ca="1">Declaration!B22</f>
        <v>Tantalum (Ta) (*)</v>
      </c>
      <c r="B11" s="118" t="str">
        <f ca="1">Declaration!D22</f>
        <v>Yes</v>
      </c>
      <c r="C11" s="118" t="str">
        <f ca="1">IF(Declaration!D22="","Must declare if Tantalum is in use within the scope of products declared within this survey response on the Declaration tab cell D19","Completed")</f>
        <v>Completed</v>
      </c>
      <c r="D11" s="119" t="str">
        <f ca="1">IF(C11="Completed","","Click here to answer question 1 for Tantalum")</f>
        <v/>
      </c>
      <c r="F11" s="79">
        <f t="shared" si="0"/>
        <v>1</v>
      </c>
      <c r="G11" s="79">
        <f ca="1">IF(B12="No",1,0)</f>
        <v>0</v>
      </c>
    </row>
    <row r="12" spans="1:11">
      <c r="A12" s="123" t="str">
        <f ca="1">Declaration!B23</f>
        <v>Tin (Sn) (*)</v>
      </c>
      <c r="B12" s="118" t="str">
        <f ca="1">Declaration!D23</f>
        <v>Yes</v>
      </c>
      <c r="C12" s="118" t="str">
        <f ca="1">IF(Declaration!D23="","Must declare if Tin is in use within the scope of products declared within this survey response on the Declaration tab cell D20","Completed")</f>
        <v>Completed</v>
      </c>
      <c r="D12" s="119" t="str">
        <f ca="1">IF(C12="Completed","","Click here to answer question 1 for Tin")</f>
        <v/>
      </c>
      <c r="F12" s="79">
        <f t="shared" si="0"/>
        <v>1</v>
      </c>
      <c r="G12" s="79">
        <f ca="1">IF(B13="No",1,0)</f>
        <v>0</v>
      </c>
    </row>
    <row r="13" spans="1:11">
      <c r="A13" s="123" t="str">
        <f ca="1">Declaration!B24</f>
        <v>Gold (Au) (*)</v>
      </c>
      <c r="B13" s="118" t="str">
        <f ca="1">Declaration!D24</f>
        <v>Yes</v>
      </c>
      <c r="C13" s="118" t="str">
        <f ca="1">IF(Declaration!D24="","Must declare if Gold is in use within the scope of products declared within this survey response on the Declaration tab cell D21","Completed")</f>
        <v>Completed</v>
      </c>
      <c r="D13" s="119" t="str">
        <f ca="1">IF(C13="Completed","","Click here to answer question 1 for Gold")</f>
        <v/>
      </c>
      <c r="F13" s="79">
        <f t="shared" si="0"/>
        <v>1</v>
      </c>
      <c r="G13" s="79">
        <f ca="1">IF(B14="No",1,0)</f>
        <v>0</v>
      </c>
    </row>
    <row r="14" spans="1:11">
      <c r="A14" s="123" t="str">
        <f ca="1">Declaration!B25</f>
        <v>Tungsten (W) (*)</v>
      </c>
      <c r="B14" s="118" t="str">
        <f ca="1">Declaration!D25</f>
        <v>Yes</v>
      </c>
      <c r="C14" s="118" t="str">
        <f ca="1">IF(Declaration!D25="","Must declare if Tungsten is in use within the scope of products declared within this survey response on the Declaration tab cell D22","Completed")</f>
        <v>Completed</v>
      </c>
      <c r="D14" s="119" t="str">
        <f ca="1">IF(C14="Completed","","Click here to answer question 1 for Tungsten")</f>
        <v/>
      </c>
      <c r="F14" s="79">
        <f t="shared" si="0"/>
        <v>1</v>
      </c>
      <c r="G14" s="79">
        <f ca="1">SUM(G10:G13)</f>
        <v>0</v>
      </c>
    </row>
    <row r="15" spans="1:11" ht="51">
      <c r="A15" s="121" t="str">
        <f ca="1">Declaration!B27</f>
        <v>2) Do the following metals (necessary to the functionality or production of your company's products) originate from the DRC or an adjoining country? (*)</v>
      </c>
      <c r="B15" s="122"/>
      <c r="C15" s="122"/>
      <c r="D15" s="122"/>
    </row>
    <row r="16" spans="1:11">
      <c r="A16" s="123" t="str">
        <f ca="1">Declaration!B28</f>
        <v>Tantalum (Ta) (*)</v>
      </c>
      <c r="B16" s="118" t="str">
        <f ca="1">Declaration!D28</f>
        <v>No</v>
      </c>
      <c r="C16" s="118" t="str">
        <f ca="1">IF(Declaration!D28="","Declare if Tantalum used within the scope of products declared within this survey response originated from the DRC or an adjoining Country on the Declaration tab cell D28","Completed")</f>
        <v>Completed</v>
      </c>
      <c r="D16" s="181" t="str">
        <f ca="1">IF(G14=4,"",IF(C16="Completed","","Click here to answer question 2 for Tantalum"))</f>
        <v/>
      </c>
      <c r="F16" s="79">
        <f t="shared" si="0"/>
        <v>1</v>
      </c>
    </row>
    <row r="17" spans="1:6">
      <c r="A17" s="123" t="str">
        <f ca="1">Declaration!B29</f>
        <v>Tin (Sn) (*)</v>
      </c>
      <c r="B17" s="118" t="str">
        <f ca="1">Declaration!D29</f>
        <v>Uncertain or Unknown</v>
      </c>
      <c r="C17" s="118" t="str">
        <f ca="1">IF(Declaration!D29="","Declare if Tin used within the scope of products declared within this survey response originated from the DRC or an adjoining Country on the Declaration tab cell D29","Completed")</f>
        <v>Completed</v>
      </c>
      <c r="D17" s="181" t="str">
        <f ca="1">IF(G14=4,"",IF(C17="Completed","","Click here to answer question 2 for Tin"))</f>
        <v/>
      </c>
      <c r="F17" s="79">
        <f t="shared" si="0"/>
        <v>1</v>
      </c>
    </row>
    <row r="18" spans="1:6">
      <c r="A18" s="123" t="str">
        <f ca="1">Declaration!B30</f>
        <v>Gold (Au) (*)</v>
      </c>
      <c r="B18" s="118" t="str">
        <f ca="1">Declaration!D30</f>
        <v>Uncertain or Unknown</v>
      </c>
      <c r="C18" s="118" t="str">
        <f ca="1">IF(Declaration!D30="","Declare if Gold used within the scope of products declared within this survey response originated from the DRC or an adjoining Country on the Declaration tab cell D30","Completed")</f>
        <v>Completed</v>
      </c>
      <c r="D18" s="181" t="str">
        <f ca="1">IF(G14=4,"",IF(C18="Completed","","Click here to answer question 2 for Gold"))</f>
        <v/>
      </c>
      <c r="F18" s="79">
        <f t="shared" si="0"/>
        <v>1</v>
      </c>
    </row>
    <row r="19" spans="1:6">
      <c r="A19" s="123" t="str">
        <f ca="1">Declaration!B31</f>
        <v>Tungsten (W) (*)</v>
      </c>
      <c r="B19" s="118" t="str">
        <f ca="1">Declaration!D31</f>
        <v>Uncertain or Unknown</v>
      </c>
      <c r="C19" s="118" t="str">
        <f ca="1">IF(Declaration!D31="","Declare if Tungsten used within the scope of products declared within this survey response originated from the DRC or an adjoining Country on the Declaration tab cell D31","Completed")</f>
        <v>Completed</v>
      </c>
      <c r="D19" s="181" t="str">
        <f ca="1">IF(G14=4,"",IF(C19="Completed","","Click here to answer question 2 for Tungsten"))</f>
        <v/>
      </c>
      <c r="F19" s="79">
        <f t="shared" si="0"/>
        <v>1</v>
      </c>
    </row>
    <row r="20" spans="1:6" ht="38.25">
      <c r="A20" s="121" t="str">
        <f ca="1">Declaration!B33</f>
        <v>3) Do the following metals (necessary to the functionality or production of your products) come from a recycler or scrap supplier? (*)</v>
      </c>
      <c r="B20" s="122"/>
      <c r="C20" s="122"/>
      <c r="D20" s="122"/>
    </row>
    <row r="21" spans="1:6">
      <c r="A21" s="123" t="str">
        <f ca="1">Declaration!B34</f>
        <v>Tantalum (Ta) (*)</v>
      </c>
      <c r="B21" s="118" t="str">
        <f ca="1">Declaration!D34</f>
        <v>Yes</v>
      </c>
      <c r="C21" s="118" t="str">
        <f ca="1">IF(Declaration!D34="","Declare if Tantalum used within the scope of products declared within this survey response originated from a recycled or scrap source on the Declaration tab cell D34","Completed")</f>
        <v>Completed</v>
      </c>
      <c r="D21" s="181" t="str">
        <f ca="1">IF(G14=4,"",IF(C21="Completed","","Click here to answer question 3 for Tantalum"))</f>
        <v/>
      </c>
      <c r="F21" s="79">
        <f t="shared" si="0"/>
        <v>1</v>
      </c>
    </row>
    <row r="22" spans="1:6">
      <c r="A22" s="123" t="str">
        <f ca="1">Declaration!B35</f>
        <v>Tin (Sn) (*)</v>
      </c>
      <c r="B22" s="118" t="str">
        <f ca="1">Declaration!D35</f>
        <v>Yes</v>
      </c>
      <c r="C22" s="118" t="str">
        <f ca="1">IF(Declaration!D35="","Declare if Tin used within the scope of products declared within this survey response originated from a recycled or scrap source on the Declaration tab cell D35","Completed")</f>
        <v>Completed</v>
      </c>
      <c r="D22" s="181" t="str">
        <f ca="1">IF(G14=4,"",IF(C22="Completed","","Click here to answer question 3 for Tin"))</f>
        <v/>
      </c>
      <c r="F22" s="79">
        <f t="shared" si="0"/>
        <v>1</v>
      </c>
    </row>
    <row r="23" spans="1:6">
      <c r="A23" s="123" t="str">
        <f ca="1">Declaration!B36</f>
        <v>Gold (Au) (*)</v>
      </c>
      <c r="B23" s="118" t="str">
        <f ca="1">Declaration!D36</f>
        <v>Yes</v>
      </c>
      <c r="C23" s="118" t="str">
        <f ca="1">IF(Declaration!D36="","Declare if Gold used within the scope of products declared within this survey response originated from a recycled or scrap source on the Declaration tab cell D36","Completed")</f>
        <v>Completed</v>
      </c>
      <c r="D23" s="181" t="str">
        <f ca="1">IF(G14=4,"",IF(C23="Completed","","Click here to answer question 3 for Gold"))</f>
        <v/>
      </c>
      <c r="F23" s="79">
        <f t="shared" si="0"/>
        <v>1</v>
      </c>
    </row>
    <row r="24" spans="1:6">
      <c r="A24" s="123" t="str">
        <f ca="1">Declaration!B37</f>
        <v>Tungsten (W) (*)</v>
      </c>
      <c r="B24" s="118" t="str">
        <f ca="1">Declaration!D37</f>
        <v>Yes</v>
      </c>
      <c r="C24" s="118" t="str">
        <f ca="1">IF(Declaration!D37="","Declare if Tungsten used within the scope of products declared within this survey response originated from a recycled or scrap source on the Declaration tab cell D37","Completed")</f>
        <v>Completed</v>
      </c>
      <c r="D24" s="181" t="str">
        <f ca="1">IF(G14=4,"",IF(C24="Completed","","Click here to answer question 3 for Tungsten"))</f>
        <v/>
      </c>
      <c r="F24" s="79">
        <f t="shared" si="0"/>
        <v>1</v>
      </c>
    </row>
    <row r="25" spans="1:6" ht="25.5">
      <c r="A25" s="121" t="str">
        <f ca="1">Declaration!B39</f>
        <v>4) Have you received completed Conflict Minerals Reporting Templates from all of your suppliers? (*)</v>
      </c>
      <c r="B25" s="122"/>
      <c r="C25" s="122"/>
      <c r="D25" s="122"/>
    </row>
    <row r="26" spans="1:6">
      <c r="A26" s="123" t="str">
        <f ca="1">Declaration!B40</f>
        <v>Tantalum (Ta) (*)</v>
      </c>
      <c r="B26" s="118" t="str">
        <f ca="1">Declaration!D40</f>
        <v>No but &gt; 75%</v>
      </c>
      <c r="C26" s="118" t="str">
        <f ca="1">IF(Declaration!D40="","Provide % of completeness of supplier's smelter information on Declaration tab cell D40","Completed")</f>
        <v>Completed</v>
      </c>
      <c r="D26" s="119" t="str">
        <f ca="1">IF(G14=4,"",IF(C26="Completed","","Click here to answer question 4 for Tantalum"))</f>
        <v/>
      </c>
      <c r="F26" s="79">
        <f t="shared" si="0"/>
        <v>1</v>
      </c>
    </row>
    <row r="27" spans="1:6">
      <c r="A27" s="123" t="str">
        <f ca="1">Declaration!B41</f>
        <v>Tin (Sn) (*)</v>
      </c>
      <c r="B27" s="118" t="str">
        <f ca="1">Declaration!D41</f>
        <v>No but &gt; 75%</v>
      </c>
      <c r="C27" s="118" t="str">
        <f ca="1">IF(Declaration!D41="","Provide % of completeness of supplier's smelter information on Declaration tab cell D41","Completed")</f>
        <v>Completed</v>
      </c>
      <c r="D27" s="119" t="str">
        <f ca="1">IF(G14=4,"",IF(C27="Completed","","Click here to answer question 4 for Tin"))</f>
        <v/>
      </c>
      <c r="F27" s="79">
        <f t="shared" si="0"/>
        <v>1</v>
      </c>
    </row>
    <row r="28" spans="1:6">
      <c r="A28" s="123" t="str">
        <f ca="1">Declaration!B42</f>
        <v>Gold (Au) (*)</v>
      </c>
      <c r="B28" s="118" t="str">
        <f ca="1">Declaration!D42</f>
        <v>No but &gt; 75%</v>
      </c>
      <c r="C28" s="118" t="str">
        <f ca="1">IF(Declaration!D42="","Provide % of completeness of supplier's smelter information on Declaration tab cell D42","Completed")</f>
        <v>Completed</v>
      </c>
      <c r="D28" s="119" t="str">
        <f ca="1">IF(G14=4,"",IF(C28="Completed","","Click here to answer question 4 for Gold"))</f>
        <v/>
      </c>
      <c r="F28" s="79">
        <f t="shared" si="0"/>
        <v>1</v>
      </c>
    </row>
    <row r="29" spans="1:6">
      <c r="A29" s="123" t="str">
        <f ca="1">Declaration!B43</f>
        <v>Tungsten (W) (*)</v>
      </c>
      <c r="B29" s="118" t="str">
        <f ca="1">Declaration!D43</f>
        <v>No but &gt; 75%</v>
      </c>
      <c r="C29" s="118" t="str">
        <f ca="1">IF(Declaration!D43="","Provide % of completeness of supplier's smelter information on Declaration tab cell D43","Completed")</f>
        <v>Completed</v>
      </c>
      <c r="D29" s="119" t="str">
        <f ca="1">IF(G14=4,"",IF(C29="Completed","","Click here to answer question 4 for Tungsten"))</f>
        <v/>
      </c>
      <c r="F29" s="79">
        <f t="shared" si="0"/>
        <v>1</v>
      </c>
    </row>
    <row r="30" spans="1:6" ht="51">
      <c r="A30" s="121" t="str">
        <f ca="1">Declaration!B45</f>
        <v>5) For each of the following metals, have you identified all of the smelters your company and its suppliers use to supply the products included within the declaration scope indicated above? (*)</v>
      </c>
      <c r="B30" s="122"/>
      <c r="C30" s="122"/>
      <c r="D30" s="122"/>
    </row>
    <row r="31" spans="1:6">
      <c r="A31" s="123" t="str">
        <f ca="1">Declaration!B46</f>
        <v>Tantalum (Ta) (*)</v>
      </c>
      <c r="B31" s="118" t="str">
        <f ca="1">Declaration!D46</f>
        <v>No but &gt; 75%</v>
      </c>
      <c r="C31" s="118" t="str">
        <f ca="1">IF(Declaration!D46="","Declare if all smelter names have been provided in this survey response which fall under the scope of products declared within this survey response on the Declaration tab cell D46","Completed")</f>
        <v>Completed</v>
      </c>
      <c r="D31" s="181" t="str">
        <f ca="1">IF(G14=4,"",IF(C31="Completed","","Click here to answer question 5 for Tantalum"))</f>
        <v/>
      </c>
      <c r="F31" s="79">
        <f t="shared" si="0"/>
        <v>1</v>
      </c>
    </row>
    <row r="32" spans="1:6">
      <c r="A32" s="123" t="str">
        <f ca="1">Declaration!B47</f>
        <v>Tin (Sn) (*)</v>
      </c>
      <c r="B32" s="118" t="str">
        <f ca="1">Declaration!D47</f>
        <v>No but &gt; 75%</v>
      </c>
      <c r="C32" s="118" t="str">
        <f ca="1">IF(Declaration!D47="","Declare if all smelter names have been provided in this survey response which fall under the scope of products declared within this survey response on the Declaration tab cell D47","Completed")</f>
        <v>Completed</v>
      </c>
      <c r="D32" s="181" t="str">
        <f ca="1">IF(G14=4,"",IF(C32="Completed","","Click here to answer question 5 for Tin"))</f>
        <v/>
      </c>
      <c r="F32" s="79">
        <f t="shared" si="0"/>
        <v>1</v>
      </c>
    </row>
    <row r="33" spans="1:6">
      <c r="A33" s="123" t="str">
        <f ca="1">Declaration!B48</f>
        <v>Gold (Au) (*)</v>
      </c>
      <c r="B33" s="118" t="str">
        <f ca="1">Declaration!D48</f>
        <v>No but &gt; 75%</v>
      </c>
      <c r="C33" s="118" t="str">
        <f ca="1">IF(Declaration!D48="","Declare if all smelter names have been provided in this survey response which fall under the scope of products declared within this survey response on the Declaration tab cell D48","Completed")</f>
        <v>Completed</v>
      </c>
      <c r="D33" s="181" t="str">
        <f ca="1">IF(G14=4,"",IF(C33="Completed","","Click here to answer question 5 for Gold"))</f>
        <v/>
      </c>
      <c r="F33" s="79">
        <f t="shared" si="0"/>
        <v>1</v>
      </c>
    </row>
    <row r="34" spans="1:6">
      <c r="A34" s="123" t="str">
        <f ca="1">Declaration!B49</f>
        <v>Tungsten (W) (*)</v>
      </c>
      <c r="B34" s="118" t="str">
        <f ca="1">Declaration!D49</f>
        <v>No but &gt; 75%</v>
      </c>
      <c r="C34" s="118" t="str">
        <f ca="1">IF(Declaration!D49="","Declare if all smelter names have been provided in this survey response which fall under the scope of products declared within this survey response on the Declaration tab cell D49","Completed")</f>
        <v>Completed</v>
      </c>
      <c r="D34" s="181" t="str">
        <f ca="1">IF(G14=4,"",IF(C34="Completed","","Click here to answer question 5 for Tungsten"))</f>
        <v/>
      </c>
      <c r="F34" s="79">
        <f t="shared" si="0"/>
        <v>1</v>
      </c>
    </row>
    <row r="35" spans="1:6" ht="63.75">
      <c r="A35" s="121" t="str">
        <f ca="1">Declaration!B51</f>
        <v>6) Have all of the smelters used by your company and its suppliers been validated as compliant in accordance with the Conflict-Free Smelter (CFS) Program and listed on the Compliant Smelter List for the following metals? (*)</v>
      </c>
      <c r="B35" s="122"/>
      <c r="C35" s="122"/>
      <c r="D35" s="122"/>
    </row>
    <row r="36" spans="1:6">
      <c r="A36" s="123" t="str">
        <f ca="1">Declaration!B52</f>
        <v>Tantalum (Ta) (*)</v>
      </c>
      <c r="B36" s="118" t="str">
        <f ca="1">Declaration!D52</f>
        <v>Unknown</v>
      </c>
      <c r="C36" s="118" t="str">
        <f ca="1">IF(Declaration!D52="","Must declare if all smelters your company and its suppliers use for Tantalum are on the Conflict-Free Smelter (CFS) list on Declaration tab cell D52","Completed")</f>
        <v>Completed</v>
      </c>
      <c r="D36" s="202" t="str">
        <f ca="1">IF(G14=4,"",IF(C36="Completed","","Click here to answer question 6 for Tantalum"))</f>
        <v/>
      </c>
      <c r="F36" s="79">
        <f t="shared" si="0"/>
        <v>1</v>
      </c>
    </row>
    <row r="37" spans="1:6">
      <c r="A37" s="123" t="str">
        <f ca="1">Declaration!B53</f>
        <v>Tin (Sn) (*)</v>
      </c>
      <c r="B37" s="118" t="str">
        <f ca="1">Declaration!D53</f>
        <v>Unknown</v>
      </c>
      <c r="C37" s="118" t="str">
        <f ca="1">IF(Declaration!D53="","Must declare if all smelters your company and its suppliers use for Tin are on the Conflict-Free Smelter (CFS) list on Declaration tab cell D53","Completed")</f>
        <v>Completed</v>
      </c>
      <c r="D37" s="202" t="str">
        <f ca="1">IF(G14=4,"",IF(C37="Completed","","Click here to answer question 6 for Tin"))</f>
        <v/>
      </c>
      <c r="F37" s="79">
        <f t="shared" si="0"/>
        <v>1</v>
      </c>
    </row>
    <row r="38" spans="1:6">
      <c r="A38" s="123" t="str">
        <f ca="1">Declaration!B54</f>
        <v>Gold (Au) (*)</v>
      </c>
      <c r="B38" s="118" t="str">
        <f ca="1">Declaration!D54</f>
        <v>Unknown</v>
      </c>
      <c r="C38" s="118" t="str">
        <f ca="1">IF(Declaration!D54="","Must declare if all smelters your company and its suppliers use for Gold are on the Conflict-Free Smelter (CFS) list on Declaration tab cell D54","Completed")</f>
        <v>Completed</v>
      </c>
      <c r="D38" s="202" t="str">
        <f ca="1">IF(G14=4,"",IF(C38="Completed","","Click here to answer question 6 for Gold"))</f>
        <v/>
      </c>
      <c r="F38" s="79">
        <f t="shared" si="0"/>
        <v>1</v>
      </c>
    </row>
    <row r="39" spans="1:6">
      <c r="A39" s="123" t="str">
        <f ca="1">Declaration!B55</f>
        <v>Tungsten (W) (*)</v>
      </c>
      <c r="B39" s="118" t="str">
        <f ca="1">Declaration!D55</f>
        <v>Unknown</v>
      </c>
      <c r="C39" s="118" t="str">
        <f ca="1">IF(Declaration!D55="","Must declare if all smelters your company and its suppliers use for Tungsten are on the Conflict-Free Smelter (CFS) list on Declaration tab cell D55","Completed")</f>
        <v>Completed</v>
      </c>
      <c r="D39" s="202" t="str">
        <f ca="1">IF(G14=4,"",IF(C39="Completed","","Click here to answer question 6 for Tungsten"))</f>
        <v/>
      </c>
      <c r="F39" s="79">
        <f t="shared" si="0"/>
        <v>1</v>
      </c>
    </row>
    <row r="40" spans="1:6" ht="25.5">
      <c r="A40" s="118" t="str">
        <f ca="1">Declaration!B59</f>
        <v>A. Do you have a policy in place that includes DRC conflict-free sourcing? (*)</v>
      </c>
      <c r="B40" s="118" t="str">
        <f ca="1">Declaration!D59</f>
        <v>No</v>
      </c>
      <c r="C40" s="118" t="str">
        <f ca="1">IF(Declaration!D59="","Must answer if your company has a DRC Conflict-Free sourcing policy on the Declaration tab cell D50","Completed")</f>
        <v>Completed</v>
      </c>
      <c r="D40" s="119" t="str">
        <f ca="1">IF(G14=4,"",IF(C40="Completed","","Click here to document answer on DRC Conflict-Free sourcing policy"))</f>
        <v/>
      </c>
      <c r="F40" s="79">
        <f t="shared" si="0"/>
        <v>1</v>
      </c>
    </row>
    <row r="41" spans="1:6" ht="25.5">
      <c r="A41" s="118" t="str">
        <f ca="1">Declaration!B61</f>
        <v>B. Is this policy publicly available on your website? (*)</v>
      </c>
      <c r="B41" s="118" t="str">
        <f ca="1">Declaration!D61</f>
        <v>No</v>
      </c>
      <c r="C41" s="118" t="str">
        <f ca="1">IF(Declaration!D61="","Must answer if your company has made your DRC Conflict-Free sourcing policy is publically available on your website on the Declaration tab cell D52","Completed")</f>
        <v>Completed</v>
      </c>
      <c r="D41" s="119" t="str">
        <f ca="1">IF(G14=4,"",IF(C41="Completed","","Click here to document answer on public availability"))</f>
        <v/>
      </c>
      <c r="F41" s="79">
        <f t="shared" si="0"/>
        <v>1</v>
      </c>
    </row>
    <row r="42" spans="1:6" ht="25.5">
      <c r="A42" s="118" t="str">
        <f ca="1">Declaration!B63</f>
        <v>C. Do you require your direct suppliers to be DRC conflict-free? (*)</v>
      </c>
      <c r="B42" s="118" t="str">
        <f ca="1">Declaration!D63</f>
        <v>No</v>
      </c>
      <c r="C42" s="118" t="str">
        <f ca="1">IF(Declaration!D63="","Must answer if you require your direct suppliers to be DRC Conflict-Free on the Declaration tab cell D54","Completed")</f>
        <v>Completed</v>
      </c>
      <c r="D42" s="119" t="str">
        <f ca="1">IF(G14=4,"",IF(C42="Completed","","Click here to document supplier requirement"))</f>
        <v/>
      </c>
      <c r="F42" s="79">
        <f t="shared" si="0"/>
        <v>1</v>
      </c>
    </row>
    <row r="43" spans="1:6" ht="38.25">
      <c r="A43" s="118" t="str">
        <f ca="1">Declaration!B65</f>
        <v>D. Do you require your direct suppliers to source from smelters validated as compliant to a CFS protocol using the CFS Compliant Smelter List? (*)</v>
      </c>
      <c r="B43" s="118" t="str">
        <f ca="1">Declaration!D65</f>
        <v>No</v>
      </c>
      <c r="C43" s="118" t="str">
        <f ca="1">IF(Declaration!D65="","Must answer if you require your direct suppliers to source from smelters validated as DRC Conflict-Free using the Conflict-Free Smelter list on Declaration tab cell D56","Completed")</f>
        <v>Completed</v>
      </c>
      <c r="D43" s="119" t="str">
        <f ca="1">IF(G14=4,"",IF(C43="Completed","","Click here to document use of CFS list"))</f>
        <v/>
      </c>
      <c r="F43" s="79">
        <f t="shared" si="0"/>
        <v>1</v>
      </c>
    </row>
    <row r="44" spans="1:6" ht="25.5">
      <c r="A44" s="118" t="str">
        <f ca="1">Declaration!B67</f>
        <v>E. Have you implemented due diligence measures for conflict-free sourcing? (*)</v>
      </c>
      <c r="B44" s="118" t="str">
        <f ca="1">Declaration!D67</f>
        <v>No</v>
      </c>
      <c r="C44" s="118" t="str">
        <f ca="1">IF(Declaration!D67="","Must answer if you have implemented Conflict Minerals sourcing due diligence measures on Declaration tab cell D58","Completed")</f>
        <v>Completed</v>
      </c>
      <c r="D44" s="119" t="str">
        <f ca="1">IF(G14=4,"",IF(C44="Completed","","Click here to document Conflict Minerals due diligence"))</f>
        <v/>
      </c>
      <c r="F44" s="79">
        <f t="shared" si="0"/>
        <v>1</v>
      </c>
    </row>
    <row r="45" spans="1:6" ht="25.5">
      <c r="A45" s="118" t="str">
        <f ca="1">Declaration!B69</f>
        <v>F. Do you request your suppliers to fill out this Conflict Minerals Reporting Template? (*)</v>
      </c>
      <c r="B45" s="118" t="str">
        <f ca="1">Declaration!D69</f>
        <v>No</v>
      </c>
      <c r="C45" s="118" t="str">
        <f ca="1">IF(Declaration!D69="","Must answer if you request your suppliers to fill out this Conflict Minerals reporting template on Declaration tab cell D62","Completed")</f>
        <v>Completed</v>
      </c>
      <c r="D45" s="119" t="str">
        <f ca="1">IF(G14=4,"",IF(C45="Completed","","Click here to document supplier requirement for surveys"))</f>
        <v/>
      </c>
      <c r="F45" s="79">
        <f t="shared" si="0"/>
        <v>1</v>
      </c>
    </row>
    <row r="46" spans="1:6" ht="25.5">
      <c r="A46" s="118" t="str">
        <f ca="1">Declaration!B71</f>
        <v>G. Do you request smelter names from your suppliers? (*)</v>
      </c>
      <c r="B46" s="118" t="str">
        <f ca="1">Declaration!D71</f>
        <v>No</v>
      </c>
      <c r="C46" s="118" t="str">
        <f ca="1">IF(Declaration!D71="","Must answer if you request smelter names from your suppliers on the declaration tab cell D64","Completed")</f>
        <v>Completed</v>
      </c>
      <c r="D46" s="119" t="str">
        <f ca="1">IF(G14=4,"",IF(C46="Completed","","Click here to document smelter name collection"))</f>
        <v/>
      </c>
      <c r="F46" s="79">
        <f t="shared" si="0"/>
        <v>1</v>
      </c>
    </row>
    <row r="47" spans="1:6" ht="25.5">
      <c r="A47" s="118" t="str">
        <f ca="1">Declaration!B73</f>
        <v>H. Do you verify due diligence information received from your suppliers? (*)</v>
      </c>
      <c r="B47" s="118" t="str">
        <f ca="1">Declaration!D73</f>
        <v>No</v>
      </c>
      <c r="C47" s="118" t="str">
        <f ca="1">IF(Declaration!D73="","Must answer if you verify Conflict Minerals responses from your suppliers on Declaration tab cell D66","Completed")</f>
        <v>Completed</v>
      </c>
      <c r="D47" s="119" t="str">
        <f ca="1">IF(G14=4,"",IF(C47="Completed","","Click here to document response documentation"))</f>
        <v/>
      </c>
      <c r="F47" s="79">
        <f t="shared" si="0"/>
        <v>1</v>
      </c>
    </row>
    <row r="48" spans="1:6" ht="25.5">
      <c r="A48" s="118" t="str">
        <f ca="1">Declaration!B75</f>
        <v>I. Does your verification process include corrective action management? (*)</v>
      </c>
      <c r="B48" s="118" t="str">
        <f ca="1">Declaration!D75</f>
        <v>No</v>
      </c>
      <c r="C48" s="118" t="str">
        <f ca="1">IF(Declaration!D75="","Must answer if your verification process includes corrective action management on Declaration tab cell D68","Completed")</f>
        <v>Completed</v>
      </c>
      <c r="D48" s="119" t="str">
        <f ca="1">IF(G14=4,"",IF(C48="Completed","","Click here to document corrective action"))</f>
        <v/>
      </c>
      <c r="F48" s="79">
        <f t="shared" si="0"/>
        <v>1</v>
      </c>
    </row>
    <row r="49" spans="1:10" ht="25.5">
      <c r="A49" s="118" t="str">
        <f ca="1">Declaration!B77</f>
        <v>J. Are you subject to the SEC Conflict Minerals disclosure requirement rule? (*)</v>
      </c>
      <c r="B49" s="118" t="str">
        <f ca="1">Declaration!D77</f>
        <v>No</v>
      </c>
      <c r="C49" s="118" t="str">
        <f ca="1">IF(Declaration!D77="","Must answer if you are subject to the SEC Disclosure requirement on Declaration tab cell D70","Completed")</f>
        <v>Completed</v>
      </c>
      <c r="D49" s="119" t="str">
        <f ca="1">IF(G14=4,"",IF(C49="Completed","","Click here to document SEC disclosure requirement"))</f>
        <v/>
      </c>
      <c r="F49" s="79">
        <f t="shared" si="0"/>
        <v>1</v>
      </c>
    </row>
    <row r="50" spans="1:10" ht="38.25">
      <c r="A50" s="201">
        <f ca="1">'Product List'!B6</f>
        <v>0</v>
      </c>
      <c r="B50" s="118" t="str">
        <f ca="1">IF('Product List'!B6="","No products or item numbers listed","One or more product / item numbers have been provided")</f>
        <v>No products or item numbers listed</v>
      </c>
      <c r="C50" s="118" t="str">
        <f>IF(G50=1,"Completed","Must provide 1 or more Products or Item Numbers this declaration applies to.  From declaration tab select hyperlink in cellG16 to enter Product List tab")</f>
        <v>Must provide 1 or more Products or Item Numbers this declaration applies to.  From declaration tab select hyperlink in cellG16 to enter Product List tab</v>
      </c>
      <c r="D50" s="119" t="str">
        <f>IF(H6=0,"",IF(C50="Completed","","Click here to enter detail on Product List tab"))</f>
        <v/>
      </c>
      <c r="F50" s="79">
        <f t="shared" si="0"/>
        <v>0</v>
      </c>
      <c r="G50" s="115">
        <f>IF(B50="One or more product / item numbers have been provided",1,0)</f>
        <v>0</v>
      </c>
    </row>
    <row r="51" spans="1:10">
      <c r="A51" s="117" t="str">
        <f ca="1">'Smelter List'!D5</f>
        <v>Aida chemical industries Co.,Ltd.</v>
      </c>
      <c r="B51" s="120" t="str">
        <f>IF(A51="","No smelter names provided on Smelter List tab","One or more smelter names have been provided")</f>
        <v>One or more smelter names have been provided</v>
      </c>
      <c r="C51" s="118" t="str">
        <f>IF(A51="","Must provide list of smelters contributing material to supply chain on Smelter List tab","One or more smelter names have been provided")</f>
        <v>One or more smelter names have been provided</v>
      </c>
      <c r="D51" s="119" t="str">
        <f>IF(G14=4,"",IF(F51=1,"","Click here to provide smelter information"))</f>
        <v/>
      </c>
      <c r="F51" s="79">
        <f>IF(C51="One or more smelter names have been provided",1,0)</f>
        <v>1</v>
      </c>
    </row>
    <row r="52" spans="1:10">
      <c r="F52" s="117">
        <f>SUM(F4:F51)</f>
        <v>40</v>
      </c>
      <c r="G52" s="125" t="s">
        <v>2450</v>
      </c>
    </row>
    <row r="53" spans="1:10">
      <c r="F53" s="79">
        <f>IF(H53=1,2,1)</f>
        <v>1</v>
      </c>
      <c r="G53" s="115" t="s">
        <v>567</v>
      </c>
      <c r="H53" s="126">
        <f ca="1">Declaration!N12</f>
        <v>0</v>
      </c>
    </row>
    <row r="54" spans="1:10">
      <c r="F54" s="126" t="e">
        <f>#VALUE!</f>
        <v>#VALUE!</v>
      </c>
      <c r="G54" s="115" t="s">
        <v>568</v>
      </c>
      <c r="H54" s="79">
        <f ca="1">Declaration!N27</f>
        <v>4</v>
      </c>
      <c r="I54" s="79">
        <f ca="1">Declaration!O27</f>
        <v>0</v>
      </c>
      <c r="J54" s="79">
        <f>SUM(H54:I54)</f>
        <v>4</v>
      </c>
    </row>
    <row r="55" spans="1:10">
      <c r="F55" s="126">
        <f>IF(H6=2,1,0)</f>
        <v>0</v>
      </c>
      <c r="G55" s="115" t="s">
        <v>937</v>
      </c>
    </row>
    <row r="56" spans="1:10">
      <c r="F56" s="173" t="e">
        <f>SUM(F53:F55)</f>
        <v>#VALUE!</v>
      </c>
      <c r="G56" s="125" t="s">
        <v>2451</v>
      </c>
    </row>
    <row r="57" spans="1:10">
      <c r="F57" s="174"/>
    </row>
    <row r="59" spans="1:10">
      <c r="F59" s="315" t="s">
        <v>555</v>
      </c>
      <c r="G59" s="315"/>
      <c r="H59" s="315"/>
    </row>
    <row r="60" spans="1:10">
      <c r="F60" s="172" t="s">
        <v>556</v>
      </c>
      <c r="G60" s="172" t="s">
        <v>558</v>
      </c>
      <c r="H60" s="172" t="s">
        <v>559</v>
      </c>
    </row>
    <row r="61" spans="1:10">
      <c r="F61" s="317" t="s">
        <v>557</v>
      </c>
      <c r="G61" s="115" t="s">
        <v>560</v>
      </c>
      <c r="H61" s="79">
        <v>9</v>
      </c>
    </row>
    <row r="62" spans="1:10">
      <c r="F62" s="317"/>
      <c r="G62" s="115" t="s">
        <v>561</v>
      </c>
      <c r="H62" s="79">
        <v>25</v>
      </c>
    </row>
    <row r="63" spans="1:10">
      <c r="F63" s="317"/>
      <c r="G63" s="115" t="s">
        <v>562</v>
      </c>
      <c r="H63" s="79">
        <v>30</v>
      </c>
    </row>
    <row r="64" spans="1:10">
      <c r="F64" s="317"/>
      <c r="G64" s="115" t="s">
        <v>563</v>
      </c>
      <c r="H64" s="79">
        <v>35</v>
      </c>
    </row>
    <row r="65" spans="6:8">
      <c r="F65" s="317"/>
      <c r="G65" s="115" t="s">
        <v>564</v>
      </c>
      <c r="H65" s="79">
        <v>40</v>
      </c>
    </row>
    <row r="66" spans="6:8">
      <c r="F66" s="316" t="s">
        <v>935</v>
      </c>
      <c r="G66" s="115" t="s">
        <v>560</v>
      </c>
      <c r="H66" s="79">
        <v>10</v>
      </c>
    </row>
    <row r="67" spans="6:8">
      <c r="F67" s="316"/>
      <c r="G67" s="115" t="s">
        <v>561</v>
      </c>
      <c r="H67" s="79">
        <v>26</v>
      </c>
    </row>
    <row r="68" spans="6:8" ht="12.6" customHeight="1">
      <c r="F68" s="316"/>
      <c r="G68" s="115" t="s">
        <v>562</v>
      </c>
      <c r="H68" s="79">
        <v>31</v>
      </c>
    </row>
    <row r="69" spans="6:8">
      <c r="F69" s="316"/>
      <c r="G69" s="115" t="s">
        <v>563</v>
      </c>
      <c r="H69" s="79">
        <v>36</v>
      </c>
    </row>
    <row r="70" spans="6:8">
      <c r="F70" s="316"/>
      <c r="G70" s="115" t="s">
        <v>564</v>
      </c>
      <c r="H70" s="79">
        <v>41</v>
      </c>
    </row>
    <row r="71" spans="6:8">
      <c r="F71" s="316" t="s">
        <v>936</v>
      </c>
      <c r="G71" s="115" t="s">
        <v>560</v>
      </c>
      <c r="H71" s="79">
        <v>11</v>
      </c>
    </row>
    <row r="72" spans="6:8">
      <c r="F72" s="316"/>
      <c r="G72" s="115" t="s">
        <v>561</v>
      </c>
      <c r="H72" s="79">
        <v>27</v>
      </c>
    </row>
    <row r="73" spans="6:8" ht="12.6" customHeight="1">
      <c r="F73" s="316"/>
      <c r="G73" s="115" t="s">
        <v>562</v>
      </c>
      <c r="H73" s="79">
        <v>32</v>
      </c>
    </row>
    <row r="74" spans="6:8">
      <c r="F74" s="316"/>
      <c r="G74" s="115" t="s">
        <v>563</v>
      </c>
      <c r="H74" s="79">
        <v>37</v>
      </c>
    </row>
    <row r="75" spans="6:8">
      <c r="F75" s="316"/>
      <c r="G75" s="115" t="s">
        <v>564</v>
      </c>
      <c r="H75" s="79">
        <v>42</v>
      </c>
    </row>
    <row r="98" spans="1:8">
      <c r="F98" s="79" t="s">
        <v>1356</v>
      </c>
      <c r="G98" s="79" t="s">
        <v>1357</v>
      </c>
      <c r="H98" s="79" t="s">
        <v>1116</v>
      </c>
    </row>
    <row r="99" spans="1:8">
      <c r="F99" s="163" t="s">
        <v>1333</v>
      </c>
      <c r="G99" s="163" t="s">
        <v>493</v>
      </c>
      <c r="H99" s="163" t="s">
        <v>494</v>
      </c>
    </row>
    <row r="100" spans="1:8">
      <c r="F100" s="163" t="s">
        <v>499</v>
      </c>
      <c r="G100" s="163" t="s">
        <v>500</v>
      </c>
      <c r="H100" s="163" t="s">
        <v>501</v>
      </c>
    </row>
    <row r="101" spans="1:8">
      <c r="F101" s="163" t="s">
        <v>506</v>
      </c>
      <c r="G101" s="163" t="s">
        <v>507</v>
      </c>
      <c r="H101" s="163" t="s">
        <v>508</v>
      </c>
    </row>
    <row r="102" spans="1:8">
      <c r="F102" s="163" t="s">
        <v>512</v>
      </c>
      <c r="G102" s="163" t="s">
        <v>513</v>
      </c>
      <c r="H102" s="163" t="s">
        <v>514</v>
      </c>
    </row>
    <row r="103" spans="1:8">
      <c r="A103" s="79" t="s">
        <v>1853</v>
      </c>
      <c r="B103" s="124" t="s">
        <v>1854</v>
      </c>
      <c r="C103" s="79" t="s">
        <v>1855</v>
      </c>
      <c r="D103" s="124" t="s">
        <v>1856</v>
      </c>
      <c r="E103" s="79" t="s">
        <v>1355</v>
      </c>
      <c r="F103" s="163" t="s">
        <v>519</v>
      </c>
      <c r="G103" s="163" t="s">
        <v>520</v>
      </c>
      <c r="H103" s="163" t="s">
        <v>519</v>
      </c>
    </row>
    <row r="104" spans="1:8">
      <c r="A104" s="163" t="s">
        <v>2447</v>
      </c>
      <c r="B104" s="163" t="s">
        <v>1329</v>
      </c>
      <c r="C104" s="163" t="s">
        <v>1330</v>
      </c>
      <c r="D104" s="163" t="s">
        <v>1331</v>
      </c>
      <c r="E104" s="163" t="s">
        <v>1332</v>
      </c>
    </row>
    <row r="105" spans="1:8">
      <c r="A105" s="163" t="s">
        <v>2452</v>
      </c>
      <c r="B105" s="163" t="s">
        <v>495</v>
      </c>
      <c r="C105" s="163" t="s">
        <v>496</v>
      </c>
      <c r="D105" s="163" t="s">
        <v>497</v>
      </c>
      <c r="E105" s="163" t="s">
        <v>498</v>
      </c>
    </row>
    <row r="106" spans="1:8">
      <c r="A106" s="163" t="s">
        <v>1960</v>
      </c>
      <c r="B106" s="163" t="s">
        <v>502</v>
      </c>
      <c r="C106" s="163" t="s">
        <v>503</v>
      </c>
      <c r="D106" s="163" t="s">
        <v>504</v>
      </c>
      <c r="E106" s="163" t="s">
        <v>505</v>
      </c>
    </row>
    <row r="107" spans="1:8">
      <c r="A107" s="163" t="s">
        <v>1961</v>
      </c>
      <c r="B107" s="163" t="s">
        <v>509</v>
      </c>
      <c r="C107" s="163" t="s">
        <v>1862</v>
      </c>
      <c r="D107" s="163" t="s">
        <v>510</v>
      </c>
      <c r="E107" s="163" t="s">
        <v>511</v>
      </c>
    </row>
    <row r="108" spans="1:8">
      <c r="A108" s="163" t="s">
        <v>2445</v>
      </c>
      <c r="B108" s="163" t="s">
        <v>515</v>
      </c>
      <c r="C108" s="163" t="s">
        <v>516</v>
      </c>
      <c r="D108" s="163" t="s">
        <v>517</v>
      </c>
      <c r="E108" s="163" t="s">
        <v>518</v>
      </c>
    </row>
  </sheetData>
  <sheetProtection password="C453" sheet="1" objects="1" scenarios="1"/>
  <mergeCells count="5">
    <mergeCell ref="A1:C1"/>
    <mergeCell ref="F59:H59"/>
    <mergeCell ref="F66:F70"/>
    <mergeCell ref="F61:F65"/>
    <mergeCell ref="F71:F75"/>
  </mergeCells>
  <phoneticPr fontId="0" type="noConversion"/>
  <conditionalFormatting sqref="A4 C4">
    <cfRule type="expression" dxfId="238" priority="453">
      <formula>IF($B$4&gt;0,TRUE)</formula>
    </cfRule>
    <cfRule type="expression" dxfId="237" priority="455">
      <formula>IF($B$4=0,TRUE)</formula>
    </cfRule>
  </conditionalFormatting>
  <conditionalFormatting sqref="A5">
    <cfRule type="expression" dxfId="236" priority="448">
      <formula>IF(B5&gt;0,TRUE)</formula>
    </cfRule>
    <cfRule type="expression" dxfId="235" priority="449">
      <formula>IF(B5=0,TRUE)</formula>
    </cfRule>
  </conditionalFormatting>
  <conditionalFormatting sqref="A6">
    <cfRule type="cellIs" dxfId="234" priority="398" operator="equal">
      <formula>"Description of Scope:"</formula>
    </cfRule>
    <cfRule type="expression" dxfId="233" priority="399">
      <formula>IF(B6&gt;0,TRUE)</formula>
    </cfRule>
    <cfRule type="expression" dxfId="232" priority="446">
      <formula>IF(A6="Description of Scope: (*)",TRUE)</formula>
    </cfRule>
  </conditionalFormatting>
  <conditionalFormatting sqref="A7">
    <cfRule type="expression" dxfId="231" priority="444">
      <formula>IF(B7&gt;0,TRUE)</formula>
    </cfRule>
    <cfRule type="expression" dxfId="230" priority="445">
      <formula>IF(B7=0,TRUE)</formula>
    </cfRule>
  </conditionalFormatting>
  <conditionalFormatting sqref="A8">
    <cfRule type="expression" dxfId="229" priority="442">
      <formula>IF(B8&gt;0,TRUE)</formula>
    </cfRule>
    <cfRule type="expression" dxfId="228" priority="443">
      <formula>IF(B8=0,TRUE)</formula>
    </cfRule>
  </conditionalFormatting>
  <conditionalFormatting sqref="A9">
    <cfRule type="expression" dxfId="227" priority="440">
      <formula>IF(B9&gt;0,TRUE)</formula>
    </cfRule>
    <cfRule type="expression" dxfId="226" priority="441">
      <formula>IF(B9=0,TRUE)</formula>
    </cfRule>
  </conditionalFormatting>
  <conditionalFormatting sqref="A11">
    <cfRule type="expression" dxfId="225" priority="438">
      <formula>IF(B11&gt;0,TRUE)</formula>
    </cfRule>
    <cfRule type="expression" dxfId="224" priority="439">
      <formula>IF(B11=0,TRUE)</formula>
    </cfRule>
  </conditionalFormatting>
  <conditionalFormatting sqref="A12">
    <cfRule type="expression" dxfId="223" priority="436">
      <formula>IF(B12&gt;0,TRUE)</formula>
    </cfRule>
    <cfRule type="expression" dxfId="222" priority="437">
      <formula>IF(B12=0,TRUE)</formula>
    </cfRule>
  </conditionalFormatting>
  <conditionalFormatting sqref="A13">
    <cfRule type="expression" dxfId="221" priority="434">
      <formula>IF(B13&gt;0,TRUE)</formula>
    </cfRule>
    <cfRule type="expression" dxfId="220" priority="435">
      <formula>IF(B13=0,TRUE)</formula>
    </cfRule>
  </conditionalFormatting>
  <conditionalFormatting sqref="A14">
    <cfRule type="expression" dxfId="219" priority="432">
      <formula>IF(B14&gt;0,TRUE)</formula>
    </cfRule>
    <cfRule type="expression" dxfId="218" priority="433">
      <formula>IF(B14=0,TRUE)</formula>
    </cfRule>
  </conditionalFormatting>
  <conditionalFormatting sqref="A37">
    <cfRule type="expression" dxfId="217" priority="18">
      <formula>IF(B12="No",TRUE)</formula>
    </cfRule>
    <cfRule type="expression" dxfId="216" priority="404">
      <formula>IF(B37&gt;0,TRUE)</formula>
    </cfRule>
    <cfRule type="expression" dxfId="215" priority="405">
      <formula>IF(B37=0,TRUE)</formula>
    </cfRule>
  </conditionalFormatting>
  <conditionalFormatting sqref="A38">
    <cfRule type="expression" dxfId="214" priority="11">
      <formula>IF(B13="No",TRUE)</formula>
    </cfRule>
    <cfRule type="expression" dxfId="213" priority="402">
      <formula>IF(B38&gt;0,TRUE)</formula>
    </cfRule>
    <cfRule type="expression" dxfId="212" priority="403">
      <formula>IF(B38=0,TRUE)</formula>
    </cfRule>
  </conditionalFormatting>
  <conditionalFormatting sqref="A39">
    <cfRule type="expression" dxfId="211" priority="4">
      <formula>IF(B14="No",TRUE)</formula>
    </cfRule>
    <cfRule type="expression" dxfId="210" priority="400">
      <formula>IF(B39&gt;0,TRUE)</formula>
    </cfRule>
    <cfRule type="expression" dxfId="209" priority="401">
      <formula>IF(B39=0,TRUE)</formula>
    </cfRule>
  </conditionalFormatting>
  <conditionalFormatting sqref="A40">
    <cfRule type="expression" dxfId="208" priority="396">
      <formula>IF(B40&gt;0,TRUE)</formula>
    </cfRule>
    <cfRule type="expression" dxfId="207" priority="397">
      <formula>IF(B40=0,TRUE)</formula>
    </cfRule>
  </conditionalFormatting>
  <conditionalFormatting sqref="A41">
    <cfRule type="expression" dxfId="206" priority="394">
      <formula>IF(B41&gt;0,TRUE)</formula>
    </cfRule>
    <cfRule type="expression" dxfId="205" priority="395">
      <formula>IF(B41=0,TRUE)</formula>
    </cfRule>
  </conditionalFormatting>
  <conditionalFormatting sqref="A42">
    <cfRule type="expression" dxfId="204" priority="392">
      <formula>IF(B42&gt;0,TRUE)</formula>
    </cfRule>
    <cfRule type="expression" dxfId="203" priority="393">
      <formula>IF(B42=0,TRUE)</formula>
    </cfRule>
  </conditionalFormatting>
  <conditionalFormatting sqref="A43">
    <cfRule type="expression" dxfId="202" priority="390">
      <formula>IF(B43&gt;0,TRUE)</formula>
    </cfRule>
    <cfRule type="expression" dxfId="201" priority="391">
      <formula>IF(B43=0,TRUE)</formula>
    </cfRule>
  </conditionalFormatting>
  <conditionalFormatting sqref="A44">
    <cfRule type="expression" dxfId="200" priority="388">
      <formula>IF(B44&gt;0,TRUE)</formula>
    </cfRule>
    <cfRule type="expression" dxfId="199" priority="389">
      <formula>IF(B44=0,TRUE)</formula>
    </cfRule>
  </conditionalFormatting>
  <conditionalFormatting sqref="A45">
    <cfRule type="expression" dxfId="198" priority="384">
      <formula>IF(B45&gt;0,TRUE)</formula>
    </cfRule>
    <cfRule type="expression" dxfId="197" priority="385">
      <formula>IF(B45=0,TRUE)</formula>
    </cfRule>
  </conditionalFormatting>
  <conditionalFormatting sqref="A46">
    <cfRule type="expression" dxfId="196" priority="382">
      <formula>IF(B46&gt;0,TRUE)</formula>
    </cfRule>
    <cfRule type="expression" dxfId="195" priority="383">
      <formula>IF(B46=0,TRUE)</formula>
    </cfRule>
  </conditionalFormatting>
  <conditionalFormatting sqref="A47">
    <cfRule type="expression" dxfId="194" priority="380">
      <formula>IF(B47&gt;0,TRUE)</formula>
    </cfRule>
    <cfRule type="expression" dxfId="193" priority="381">
      <formula>IF(B47=0,TRUE)</formula>
    </cfRule>
  </conditionalFormatting>
  <conditionalFormatting sqref="A48">
    <cfRule type="expression" dxfId="192" priority="378">
      <formula>IF(B48&gt;0,TRUE)</formula>
    </cfRule>
    <cfRule type="expression" dxfId="191" priority="379">
      <formula>IF(B48=0,TRUE)</formula>
    </cfRule>
  </conditionalFormatting>
  <conditionalFormatting sqref="A49">
    <cfRule type="expression" dxfId="190" priority="376">
      <formula>IF(B49&gt;0,TRUE)</formula>
    </cfRule>
    <cfRule type="expression" dxfId="189" priority="377">
      <formula>IF(B49=0,TRUE)</formula>
    </cfRule>
  </conditionalFormatting>
  <conditionalFormatting sqref="A51">
    <cfRule type="expression" dxfId="188" priority="364">
      <formula>IF(G14=4,TRUE)</formula>
    </cfRule>
    <cfRule type="expression" dxfId="187" priority="366">
      <formula>IF(F51&lt;1,TRUE)</formula>
    </cfRule>
  </conditionalFormatting>
  <conditionalFormatting sqref="B51">
    <cfRule type="expression" dxfId="186" priority="285">
      <formula>IF(G14=4,TRUE)</formula>
    </cfRule>
  </conditionalFormatting>
  <conditionalFormatting sqref="C5">
    <cfRule type="expression" dxfId="185" priority="283">
      <formula>IF(B5&gt;0,TRUE)</formula>
    </cfRule>
    <cfRule type="expression" dxfId="184" priority="284">
      <formula>IF(B5=0,TRUE)</formula>
    </cfRule>
  </conditionalFormatting>
  <conditionalFormatting sqref="C6">
    <cfRule type="expression" dxfId="183" priority="133">
      <formula>IF(H6=2,TRUE)</formula>
    </cfRule>
    <cfRule type="expression" dxfId="182" priority="278">
      <formula>IF($A$6="Description of Scope:",TRUE)</formula>
    </cfRule>
    <cfRule type="cellIs" dxfId="181" priority="279" operator="equal">
      <formula>"Completed"</formula>
    </cfRule>
    <cfRule type="expression" dxfId="0" priority="280">
      <formula>IF(H6=1,TRUE)</formula>
    </cfRule>
  </conditionalFormatting>
  <conditionalFormatting sqref="C7">
    <cfRule type="expression" dxfId="180" priority="274">
      <formula>IF(B7&gt;0,TRUE)</formula>
    </cfRule>
    <cfRule type="expression" dxfId="179" priority="275">
      <formula>IF(B7=0,TRUE)</formula>
    </cfRule>
  </conditionalFormatting>
  <conditionalFormatting sqref="C8">
    <cfRule type="expression" dxfId="178" priority="272">
      <formula>IF(B8&gt;0,TRUE)</formula>
    </cfRule>
    <cfRule type="expression" dxfId="177" priority="273">
      <formula>IF(B8=0,TRUE)</formula>
    </cfRule>
  </conditionalFormatting>
  <conditionalFormatting sqref="C9">
    <cfRule type="expression" dxfId="176" priority="270">
      <formula>IF(B9&gt;0,TRUE)</formula>
    </cfRule>
    <cfRule type="expression" dxfId="175" priority="271">
      <formula>IF(B9=0,TRUE)</formula>
    </cfRule>
  </conditionalFormatting>
  <conditionalFormatting sqref="C11">
    <cfRule type="expression" dxfId="174" priority="268">
      <formula>IF(B11&gt;0,TRUE)</formula>
    </cfRule>
    <cfRule type="expression" dxfId="173" priority="269">
      <formula>IF(B11=0,TRUE)</formula>
    </cfRule>
  </conditionalFormatting>
  <conditionalFormatting sqref="C12">
    <cfRule type="expression" dxfId="172" priority="266">
      <formula>IF(B12&gt;0,TRUE)</formula>
    </cfRule>
    <cfRule type="expression" dxfId="171" priority="267">
      <formula>IF(B12=0,TRUE)</formula>
    </cfRule>
  </conditionalFormatting>
  <conditionalFormatting sqref="C13">
    <cfRule type="expression" dxfId="170" priority="264">
      <formula>IF(B13&gt;0,TRUE)</formula>
    </cfRule>
    <cfRule type="expression" dxfId="169" priority="265">
      <formula>IF(B13=0,TRUE)</formula>
    </cfRule>
  </conditionalFormatting>
  <conditionalFormatting sqref="C14">
    <cfRule type="expression" dxfId="168" priority="262">
      <formula>IF(B14&gt;0,TRUE)</formula>
    </cfRule>
    <cfRule type="expression" dxfId="167" priority="263">
      <formula>IF(B14=0,TRUE)</formula>
    </cfRule>
  </conditionalFormatting>
  <conditionalFormatting sqref="C27">
    <cfRule type="expression" dxfId="166" priority="166">
      <formula>IF(B12="No",TRUE)</formula>
    </cfRule>
    <cfRule type="expression" dxfId="165" priority="242">
      <formula>IF(B27&gt;0,TRUE)</formula>
    </cfRule>
    <cfRule type="expression" dxfId="164" priority="243">
      <formula>IF(B27=0,TRUE)</formula>
    </cfRule>
  </conditionalFormatting>
  <conditionalFormatting sqref="C28">
    <cfRule type="expression" dxfId="163" priority="165">
      <formula>IF(B13="No",TRUE)</formula>
    </cfRule>
    <cfRule type="expression" dxfId="162" priority="240">
      <formula>IF(B28&gt;0,TRUE)</formula>
    </cfRule>
    <cfRule type="expression" dxfId="161" priority="241">
      <formula>IF(B28=0,TRUE)</formula>
    </cfRule>
  </conditionalFormatting>
  <conditionalFormatting sqref="C29">
    <cfRule type="expression" dxfId="160" priority="164">
      <formula>IF(B14="No",TRUE)</formula>
    </cfRule>
    <cfRule type="expression" dxfId="159" priority="238">
      <formula>IF(B29&gt;0,TRUE)</formula>
    </cfRule>
    <cfRule type="expression" dxfId="158" priority="239">
      <formula>IF(B29=0,TRUE)</formula>
    </cfRule>
  </conditionalFormatting>
  <conditionalFormatting sqref="C36">
    <cfRule type="expression" dxfId="157" priority="28">
      <formula>IF(B11="No",TRUE)</formula>
    </cfRule>
    <cfRule type="expression" dxfId="156" priority="236">
      <formula>IF(B36&gt;0,TRUE)</formula>
    </cfRule>
    <cfRule type="expression" dxfId="155" priority="237">
      <formula>IF(B36=0,TRUE)</formula>
    </cfRule>
  </conditionalFormatting>
  <conditionalFormatting sqref="C37">
    <cfRule type="expression" dxfId="154" priority="147">
      <formula>IF(B12="No",TRUE)</formula>
    </cfRule>
    <cfRule type="expression" dxfId="153" priority="234">
      <formula>IF(B37&gt;0,TRUE)</formula>
    </cfRule>
    <cfRule type="expression" dxfId="152" priority="235">
      <formula>IF(B37=0,TRUE)</formula>
    </cfRule>
  </conditionalFormatting>
  <conditionalFormatting sqref="C38">
    <cfRule type="expression" dxfId="151" priority="146">
      <formula>IF(B13="No",TRUE)</formula>
    </cfRule>
    <cfRule type="expression" dxfId="150" priority="232">
      <formula>IF(B38&gt;0,TRUE)</formula>
    </cfRule>
    <cfRule type="expression" dxfId="149" priority="233">
      <formula>IF(B38=0,TRUE)</formula>
    </cfRule>
  </conditionalFormatting>
  <conditionalFormatting sqref="C39">
    <cfRule type="expression" dxfId="148" priority="145">
      <formula>IF(B14="No",TRUE)</formula>
    </cfRule>
    <cfRule type="expression" dxfId="147" priority="230">
      <formula>IF(B39&gt;0,TRUE)</formula>
    </cfRule>
    <cfRule type="expression" dxfId="146" priority="231">
      <formula>IF(B39=0,TRUE)</formula>
    </cfRule>
  </conditionalFormatting>
  <conditionalFormatting sqref="C40">
    <cfRule type="expression" dxfId="145" priority="144">
      <formula>IF(H14=4,TRUE)</formula>
    </cfRule>
    <cfRule type="expression" dxfId="144" priority="228">
      <formula>IF(B40&gt;0,TRUE)</formula>
    </cfRule>
    <cfRule type="expression" dxfId="143" priority="229">
      <formula>IF(B40=0,TRUE)</formula>
    </cfRule>
  </conditionalFormatting>
  <conditionalFormatting sqref="C41">
    <cfRule type="expression" dxfId="142" priority="143">
      <formula>IF(H14=4,TRUE)</formula>
    </cfRule>
    <cfRule type="expression" dxfId="141" priority="226">
      <formula>IF(B41&gt;0,TRUE)</formula>
    </cfRule>
    <cfRule type="expression" dxfId="140" priority="227">
      <formula>IF(B41=0,TRUE)</formula>
    </cfRule>
  </conditionalFormatting>
  <conditionalFormatting sqref="C42">
    <cfRule type="expression" dxfId="139" priority="142">
      <formula>IF(H14=4,TRUE)</formula>
    </cfRule>
    <cfRule type="expression" dxfId="138" priority="224">
      <formula>IF(B42&gt;0,TRUE)</formula>
    </cfRule>
    <cfRule type="expression" dxfId="137" priority="225">
      <formula>IF(B42=0,TRUE)</formula>
    </cfRule>
  </conditionalFormatting>
  <conditionalFormatting sqref="C43">
    <cfRule type="expression" dxfId="136" priority="141">
      <formula>IF(H14=4,TRUE)</formula>
    </cfRule>
    <cfRule type="expression" dxfId="135" priority="222">
      <formula>IF(B43&gt;0,TRUE)</formula>
    </cfRule>
    <cfRule type="expression" dxfId="134" priority="223">
      <formula>IF(B43=0,TRUE)</formula>
    </cfRule>
  </conditionalFormatting>
  <conditionalFormatting sqref="C44">
    <cfRule type="expression" dxfId="133" priority="140">
      <formula>IF(H14=4,TRUE)</formula>
    </cfRule>
    <cfRule type="expression" dxfId="132" priority="220">
      <formula>IF(B44&gt;0,TRUE)</formula>
    </cfRule>
    <cfRule type="expression" dxfId="131" priority="221">
      <formula>IF(B44=0,TRUE)</formula>
    </cfRule>
  </conditionalFormatting>
  <conditionalFormatting sqref="C45">
    <cfRule type="expression" dxfId="130" priority="139">
      <formula>IF(H14=4,TRUE)</formula>
    </cfRule>
    <cfRule type="expression" dxfId="129" priority="218">
      <formula>IF(B45&gt;0,TRUE)</formula>
    </cfRule>
    <cfRule type="expression" dxfId="128" priority="219">
      <formula>IF(B45=0,TRUE)</formula>
    </cfRule>
  </conditionalFormatting>
  <conditionalFormatting sqref="C46">
    <cfRule type="expression" dxfId="127" priority="138">
      <formula>IF(H14=4,TRUE)</formula>
    </cfRule>
    <cfRule type="expression" dxfId="126" priority="216">
      <formula>IF(B46&gt;0,TRUE)</formula>
    </cfRule>
    <cfRule type="expression" dxfId="125" priority="217">
      <formula>IF(B46=0,TRUE)</formula>
    </cfRule>
  </conditionalFormatting>
  <conditionalFormatting sqref="C47">
    <cfRule type="expression" dxfId="124" priority="137">
      <formula>IF(H14=4,TRUE)</formula>
    </cfRule>
    <cfRule type="expression" dxfId="123" priority="214">
      <formula>IF(B47&gt;0,TRUE)</formula>
    </cfRule>
    <cfRule type="expression" dxfId="122" priority="215">
      <formula>IF(B47=0,TRUE)</formula>
    </cfRule>
  </conditionalFormatting>
  <conditionalFormatting sqref="C48">
    <cfRule type="expression" dxfId="121" priority="136">
      <formula>IF(H14=4,TRUE)</formula>
    </cfRule>
    <cfRule type="expression" dxfId="120" priority="212">
      <formula>IF(B48&gt;0,TRUE)</formula>
    </cfRule>
    <cfRule type="expression" dxfId="119" priority="213">
      <formula>IF(B48=0,TRUE)</formula>
    </cfRule>
  </conditionalFormatting>
  <conditionalFormatting sqref="C49">
    <cfRule type="expression" dxfId="118" priority="135">
      <formula>IF(H14=4,TRUE)</formula>
    </cfRule>
    <cfRule type="expression" dxfId="117" priority="210">
      <formula>IF(B49&gt;0,TRUE)</formula>
    </cfRule>
    <cfRule type="expression" dxfId="116" priority="211">
      <formula>IF(B49=0,TRUE)</formula>
    </cfRule>
  </conditionalFormatting>
  <conditionalFormatting sqref="C51">
    <cfRule type="expression" dxfId="115" priority="1">
      <formula>IF(G14=4,TRUE)</formula>
    </cfRule>
    <cfRule type="expression" dxfId="114" priority="2">
      <formula>IF(F51&lt;1,TRUE)</formula>
    </cfRule>
  </conditionalFormatting>
  <conditionalFormatting sqref="A50">
    <cfRule type="expression" dxfId="113" priority="486">
      <formula>IF(H6&lt;2,TRUE)</formula>
    </cfRule>
    <cfRule type="expression" dxfId="112" priority="487">
      <formula>IF($G$50=1,TRUE)</formula>
    </cfRule>
    <cfRule type="expression" dxfId="111" priority="488">
      <formula>IF(B5="D. Product Level",TRUE)</formula>
    </cfRule>
  </conditionalFormatting>
  <conditionalFormatting sqref="B50">
    <cfRule type="expression" dxfId="110" priority="489">
      <formula>IF(H6&lt;2,TRUE)</formula>
    </cfRule>
  </conditionalFormatting>
  <conditionalFormatting sqref="B37">
    <cfRule type="expression" dxfId="109" priority="162">
      <formula>IF(G12=1,TRUE)</formula>
    </cfRule>
  </conditionalFormatting>
  <conditionalFormatting sqref="B38">
    <cfRule type="expression" dxfId="108" priority="161">
      <formula>IF(G13=1,TRUE)</formula>
    </cfRule>
  </conditionalFormatting>
  <conditionalFormatting sqref="B39">
    <cfRule type="expression" dxfId="107" priority="160">
      <formula>IF(G14=1,TRUE)</formula>
    </cfRule>
  </conditionalFormatting>
  <conditionalFormatting sqref="B40">
    <cfRule type="expression" dxfId="106" priority="159">
      <formula>IF(H14=4,TRUE)</formula>
    </cfRule>
  </conditionalFormatting>
  <conditionalFormatting sqref="B41">
    <cfRule type="expression" dxfId="105" priority="158">
      <formula>IF(H14=4,TRUE)</formula>
    </cfRule>
  </conditionalFormatting>
  <conditionalFormatting sqref="B42">
    <cfRule type="expression" dxfId="104" priority="157">
      <formula>IF(H14=4,TRUE)</formula>
    </cfRule>
  </conditionalFormatting>
  <conditionalFormatting sqref="B43">
    <cfRule type="expression" dxfId="103" priority="156">
      <formula>IF(H14=4,TRUE)</formula>
    </cfRule>
  </conditionalFormatting>
  <conditionalFormatting sqref="B44">
    <cfRule type="expression" dxfId="102" priority="155">
      <formula>IF(H14=4,TRUE)</formula>
    </cfRule>
  </conditionalFormatting>
  <conditionalFormatting sqref="B45">
    <cfRule type="expression" dxfId="101" priority="153">
      <formula>IF(H14=4,TRUE)</formula>
    </cfRule>
  </conditionalFormatting>
  <conditionalFormatting sqref="B46">
    <cfRule type="expression" dxfId="100" priority="152">
      <formula>IF(H14=4,TRUE)</formula>
    </cfRule>
  </conditionalFormatting>
  <conditionalFormatting sqref="B47">
    <cfRule type="expression" dxfId="99" priority="151">
      <formula>IF(H14=4,TRUE)</formula>
    </cfRule>
  </conditionalFormatting>
  <conditionalFormatting sqref="B48">
    <cfRule type="expression" dxfId="98" priority="150">
      <formula>IF(H14=4,TRUE)</formula>
    </cfRule>
  </conditionalFormatting>
  <conditionalFormatting sqref="B49">
    <cfRule type="expression" dxfId="97" priority="149">
      <formula>IF(H14=4,TRUE)</formula>
    </cfRule>
  </conditionalFormatting>
  <conditionalFormatting sqref="C50">
    <cfRule type="expression" dxfId="96" priority="526">
      <formula>IF(H6&lt;2,TRUE)</formula>
    </cfRule>
    <cfRule type="expression" dxfId="95" priority="527">
      <formula>IF(G50=1,TRUE)</formula>
    </cfRule>
    <cfRule type="expression" dxfId="94" priority="528">
      <formula>IF(G50=0,TRUE)</formula>
    </cfRule>
  </conditionalFormatting>
  <conditionalFormatting sqref="A17">
    <cfRule type="expression" dxfId="93" priority="26">
      <formula>IF(B12="No",TRUE)</formula>
    </cfRule>
    <cfRule type="expression" dxfId="92" priority="127">
      <formula>IF(B17&gt;0,TRUE)</formula>
    </cfRule>
    <cfRule type="expression" dxfId="91" priority="128">
      <formula>IF(B17=0,TRUE)</formula>
    </cfRule>
  </conditionalFormatting>
  <conditionalFormatting sqref="A18">
    <cfRule type="expression" dxfId="90" priority="17">
      <formula>IF(B13="No",TRUE)</formula>
    </cfRule>
    <cfRule type="expression" dxfId="89" priority="125">
      <formula>IF(B18&gt;0,TRUE)</formula>
    </cfRule>
    <cfRule type="expression" dxfId="88" priority="126">
      <formula>IF(B18=0,TRUE)</formula>
    </cfRule>
  </conditionalFormatting>
  <conditionalFormatting sqref="A19">
    <cfRule type="expression" dxfId="87" priority="10">
      <formula>IF(B14="No",TRUE)</formula>
    </cfRule>
    <cfRule type="expression" dxfId="86" priority="123">
      <formula>IF(B19&gt;0,TRUE)</formula>
    </cfRule>
    <cfRule type="expression" dxfId="85" priority="124">
      <formula>IF(B19=0,TRUE)</formula>
    </cfRule>
  </conditionalFormatting>
  <conditionalFormatting sqref="C17">
    <cfRule type="expression" dxfId="84" priority="23">
      <formula>IF(B12="No",TRUE)</formula>
    </cfRule>
    <cfRule type="expression" dxfId="83" priority="119">
      <formula>IF(B17&gt;0,TRUE)</formula>
    </cfRule>
    <cfRule type="expression" dxfId="82" priority="120">
      <formula>IF(B17=0,TRUE)</formula>
    </cfRule>
  </conditionalFormatting>
  <conditionalFormatting sqref="C18">
    <cfRule type="expression" dxfId="81" priority="16">
      <formula>IF(B13="No",TRUE)</formula>
    </cfRule>
    <cfRule type="expression" dxfId="80" priority="117">
      <formula>IF(B18&gt;0,TRUE)</formula>
    </cfRule>
    <cfRule type="expression" dxfId="79" priority="118">
      <formula>IF(B18=0,TRUE)</formula>
    </cfRule>
  </conditionalFormatting>
  <conditionalFormatting sqref="C19">
    <cfRule type="expression" dxfId="78" priority="9">
      <formula>IF(B14="No",TRUE)</formula>
    </cfRule>
    <cfRule type="expression" dxfId="77" priority="115">
      <formula>IF(B19&gt;0,TRUE)</formula>
    </cfRule>
    <cfRule type="expression" dxfId="76" priority="116">
      <formula>IF(B19=0,TRUE)</formula>
    </cfRule>
  </conditionalFormatting>
  <conditionalFormatting sqref="A22">
    <cfRule type="expression" dxfId="75" priority="22">
      <formula>IF(B12="No",TRUE)</formula>
    </cfRule>
    <cfRule type="expression" dxfId="74" priority="111">
      <formula>IF(B22&gt;0,TRUE)</formula>
    </cfRule>
    <cfRule type="expression" dxfId="73" priority="112">
      <formula>IF(B22=0,TRUE)</formula>
    </cfRule>
  </conditionalFormatting>
  <conditionalFormatting sqref="A23">
    <cfRule type="expression" dxfId="72" priority="15">
      <formula>IF(B13="No",TRUE)</formula>
    </cfRule>
    <cfRule type="expression" dxfId="71" priority="109">
      <formula>IF(B23&gt;0,TRUE)</formula>
    </cfRule>
    <cfRule type="expression" dxfId="70" priority="110">
      <formula>IF(B23=0,TRUE)</formula>
    </cfRule>
  </conditionalFormatting>
  <conditionalFormatting sqref="A24">
    <cfRule type="expression" dxfId="69" priority="8">
      <formula>IF(B14="No",TRUE)</formula>
    </cfRule>
    <cfRule type="expression" dxfId="68" priority="107">
      <formula>IF(B24&gt;0,TRUE)</formula>
    </cfRule>
    <cfRule type="expression" dxfId="67" priority="108">
      <formula>IF(B24=0,TRUE)</formula>
    </cfRule>
  </conditionalFormatting>
  <conditionalFormatting sqref="C22">
    <cfRule type="expression" dxfId="66" priority="21">
      <formula>IF(B12="No",TRUE)</formula>
    </cfRule>
    <cfRule type="expression" dxfId="65" priority="101">
      <formula>IF(B22&gt;0,TRUE)</formula>
    </cfRule>
    <cfRule type="expression" dxfId="64" priority="102">
      <formula>IF(B22=0,TRUE)</formula>
    </cfRule>
  </conditionalFormatting>
  <conditionalFormatting sqref="C23">
    <cfRule type="expression" dxfId="63" priority="14">
      <formula>IF(B13="No",TRUE)</formula>
    </cfRule>
    <cfRule type="expression" dxfId="62" priority="99">
      <formula>IF(B23&gt;0,TRUE)</formula>
    </cfRule>
    <cfRule type="expression" dxfId="61" priority="100">
      <formula>IF(B23=0,TRUE)</formula>
    </cfRule>
  </conditionalFormatting>
  <conditionalFormatting sqref="C24">
    <cfRule type="expression" dxfId="60" priority="7">
      <formula>IF(B14="No",TRUE)</formula>
    </cfRule>
    <cfRule type="expression" dxfId="59" priority="97">
      <formula>IF(B24&gt;0,TRUE)</formula>
    </cfRule>
    <cfRule type="expression" dxfId="58" priority="98">
      <formula>IF(B24=0,TRUE)</formula>
    </cfRule>
  </conditionalFormatting>
  <conditionalFormatting sqref="A27">
    <cfRule type="expression" dxfId="57" priority="20">
      <formula>IF(B12="No",TRUE)</formula>
    </cfRule>
    <cfRule type="expression" dxfId="56" priority="93">
      <formula>IF(B27&gt;0,TRUE)</formula>
    </cfRule>
    <cfRule type="expression" dxfId="55" priority="94">
      <formula>IF(B27=0,TRUE)</formula>
    </cfRule>
  </conditionalFormatting>
  <conditionalFormatting sqref="A28">
    <cfRule type="expression" dxfId="54" priority="13">
      <formula>IF(B13="No",TRUE)</formula>
    </cfRule>
    <cfRule type="expression" dxfId="53" priority="91">
      <formula>IF(B28&gt;0,TRUE)</formula>
    </cfRule>
    <cfRule type="expression" dxfId="52" priority="92">
      <formula>IF(B28=0,TRUE)</formula>
    </cfRule>
  </conditionalFormatting>
  <conditionalFormatting sqref="A29">
    <cfRule type="expression" dxfId="51" priority="6">
      <formula>IF(B14="No",TRUE)</formula>
    </cfRule>
    <cfRule type="expression" dxfId="50" priority="89">
      <formula>IF(B29&gt;0,TRUE)</formula>
    </cfRule>
    <cfRule type="expression" dxfId="49" priority="90">
      <formula>IF(B29=0,TRUE)</formula>
    </cfRule>
  </conditionalFormatting>
  <conditionalFormatting sqref="A32">
    <cfRule type="expression" dxfId="48" priority="19">
      <formula>IF(B12="No",TRUE)</formula>
    </cfRule>
    <cfRule type="expression" dxfId="47" priority="67">
      <formula>IF(B32&gt;0,TRUE)</formula>
    </cfRule>
    <cfRule type="expression" dxfId="46" priority="68">
      <formula>IF(B32=0,TRUE)</formula>
    </cfRule>
  </conditionalFormatting>
  <conditionalFormatting sqref="A33">
    <cfRule type="expression" dxfId="45" priority="12">
      <formula>IF(B13="No",TRUE)</formula>
    </cfRule>
    <cfRule type="expression" dxfId="44" priority="65">
      <formula>IF(B33&gt;0,TRUE)</formula>
    </cfRule>
    <cfRule type="expression" dxfId="43" priority="66">
      <formula>IF(B33=0,TRUE)</formula>
    </cfRule>
  </conditionalFormatting>
  <conditionalFormatting sqref="A34">
    <cfRule type="expression" dxfId="42" priority="5">
      <formula>IF(B14="No",TRUE)</formula>
    </cfRule>
    <cfRule type="expression" dxfId="41" priority="63">
      <formula>IF(B34&gt;0,TRUE)</formula>
    </cfRule>
    <cfRule type="expression" dxfId="40" priority="64">
      <formula>IF(B34=0,TRUE)</formula>
    </cfRule>
  </conditionalFormatting>
  <conditionalFormatting sqref="C32">
    <cfRule type="expression" dxfId="39" priority="49">
      <formula>IF(B12="No",TRUE)</formula>
    </cfRule>
    <cfRule type="expression" dxfId="38" priority="50">
      <formula>IF(B32&gt;0,TRUE)</formula>
    </cfRule>
    <cfRule type="expression" dxfId="37" priority="51">
      <formula>IF(B32=0,TRUE)</formula>
    </cfRule>
  </conditionalFormatting>
  <conditionalFormatting sqref="C33">
    <cfRule type="expression" dxfId="36" priority="46">
      <formula>IF(B13="No",TRUE)</formula>
    </cfRule>
    <cfRule type="expression" dxfId="35" priority="47">
      <formula>IF(B33&gt;0,TRUE)</formula>
    </cfRule>
    <cfRule type="expression" dxfId="34" priority="48">
      <formula>IF(B33=0,TRUE)</formula>
    </cfRule>
  </conditionalFormatting>
  <conditionalFormatting sqref="C34">
    <cfRule type="expression" dxfId="33" priority="43">
      <formula>IF(B14="No",TRUE)</formula>
    </cfRule>
    <cfRule type="expression" dxfId="32" priority="44">
      <formula>IF(B34&gt;0,TRUE)</formula>
    </cfRule>
    <cfRule type="expression" dxfId="31" priority="45">
      <formula>IF(B34=0,TRUE)</formula>
    </cfRule>
  </conditionalFormatting>
  <conditionalFormatting sqref="A16">
    <cfRule type="expression" dxfId="30" priority="24">
      <formula>IF(B11="No",TRUE)</formula>
    </cfRule>
    <cfRule type="expression" dxfId="29" priority="25">
      <formula>IF(B16&gt;0,TRUE)</formula>
    </cfRule>
    <cfRule type="expression" dxfId="28" priority="42">
      <formula>IF(B21=0,TRUE)</formula>
    </cfRule>
  </conditionalFormatting>
  <conditionalFormatting sqref="C16">
    <cfRule type="expression" dxfId="27" priority="40">
      <formula>IF(B11="No",TRUE)</formula>
    </cfRule>
    <cfRule type="expression" dxfId="26" priority="121">
      <formula>IF(B16&gt;0,TRUE)</formula>
    </cfRule>
    <cfRule type="expression" dxfId="25" priority="122">
      <formula>IF(B16=0,TRUE)</formula>
    </cfRule>
  </conditionalFormatting>
  <conditionalFormatting sqref="A21">
    <cfRule type="expression" dxfId="24" priority="39">
      <formula>IF(B11="No",TRUE)</formula>
    </cfRule>
    <cfRule type="expression" dxfId="23" priority="113">
      <formula>IF(B21&gt;0,TRUE)</formula>
    </cfRule>
    <cfRule type="expression" dxfId="22" priority="114">
      <formula>IF(B21=0,TRUE)</formula>
    </cfRule>
  </conditionalFormatting>
  <conditionalFormatting sqref="C21">
    <cfRule type="expression" dxfId="21" priority="37">
      <formula>IF(B11="No",TRUE)</formula>
    </cfRule>
    <cfRule type="expression" dxfId="20" priority="103">
      <formula>IF(B21&gt;0,TRUE)</formula>
    </cfRule>
    <cfRule type="expression" dxfId="19" priority="104">
      <formula>IF(B21=0,TRUE)</formula>
    </cfRule>
  </conditionalFormatting>
  <conditionalFormatting sqref="A26">
    <cfRule type="expression" dxfId="18" priority="36">
      <formula>IF(B11="No",TRUE)</formula>
    </cfRule>
    <cfRule type="expression" dxfId="17" priority="95">
      <formula>IF(B26&gt;0,TRUE)</formula>
    </cfRule>
    <cfRule type="expression" dxfId="16" priority="96">
      <formula>IF(B26=0,TRUE)</formula>
    </cfRule>
  </conditionalFormatting>
  <conditionalFormatting sqref="C26">
    <cfRule type="expression" dxfId="15" priority="34">
      <formula>IF(B11="No",TRUE)</formula>
    </cfRule>
    <cfRule type="expression" dxfId="14" priority="244">
      <formula>IF(B26&gt;0,TRUE)</formula>
    </cfRule>
    <cfRule type="expression" dxfId="13" priority="245">
      <formula>IF(B26=0,TRUE)</formula>
    </cfRule>
  </conditionalFormatting>
  <conditionalFormatting sqref="A31">
    <cfRule type="expression" dxfId="12" priority="33">
      <formula>IF(B11="No",TRUE)</formula>
    </cfRule>
    <cfRule type="expression" dxfId="11" priority="69">
      <formula>IF(B31&gt;0,TRUE)</formula>
    </cfRule>
    <cfRule type="expression" dxfId="10" priority="70">
      <formula>IF(B31=0,TRUE)</formula>
    </cfRule>
  </conditionalFormatting>
  <conditionalFormatting sqref="C31">
    <cfRule type="expression" dxfId="9" priority="31">
      <formula>IF(B11="No",TRUE)</formula>
    </cfRule>
    <cfRule type="expression" dxfId="8" priority="53">
      <formula>IF(B31&gt;0,TRUE)</formula>
    </cfRule>
    <cfRule type="expression" dxfId="7" priority="54">
      <formula>IF(B31=0,TRUE)</formula>
    </cfRule>
  </conditionalFormatting>
  <conditionalFormatting sqref="A36">
    <cfRule type="expression" dxfId="6" priority="30">
      <formula>IF(B11="No",TRUE)</formula>
    </cfRule>
    <cfRule type="expression" dxfId="5" priority="406">
      <formula>IF(B36&gt;0,TRUE)</formula>
    </cfRule>
    <cfRule type="expression" dxfId="4" priority="407">
      <formula>IF(B36=0,TRUE)</formula>
    </cfRule>
  </conditionalFormatting>
  <conditionalFormatting sqref="B36">
    <cfRule type="expression" dxfId="3" priority="27">
      <formula>IF(B11="No",TRUE)</formula>
    </cfRule>
    <cfRule type="cellIs" dxfId="2" priority="29" operator="notEqual">
      <formula>0</formula>
    </cfRule>
  </conditionalFormatting>
  <conditionalFormatting sqref="A40:C49">
    <cfRule type="expression" dxfId="1" priority="3">
      <formula>IF($G$14=4,TRUE)</formula>
    </cfRule>
  </conditionalFormatting>
  <hyperlinks>
    <hyperlink ref="D4" location="Declaration!D7" display="Declaration!D7"/>
    <hyperlink ref="D5" location="Declaration!D8" display="Declaration!D8"/>
    <hyperlink ref="D6" location="Declaration!D9" display="Click here to provide a Description of Scope"/>
    <hyperlink ref="D7" location="Declaration!D12" display="Declaration!D12"/>
    <hyperlink ref="D8" location="Declaration!D14" display="Click here to enter Representative's email"/>
    <hyperlink ref="D9" location="Declaration!D16" display="Click here to enter Date of Completion"/>
    <hyperlink ref="D11" location="Declaration!D19" display="Click here to answer question 1 for Tantalum"/>
    <hyperlink ref="D12" location="Declaration!D20" display="Click here to answer question 1 for Tin"/>
    <hyperlink ref="D13" location="Declaration!D21" display="Click here to answer question 1 for Gold"/>
    <hyperlink ref="D14" location="Declaration!D22" display="Click here to answer question 1 for Tungsten"/>
    <hyperlink ref="D26" location="Declaration!D40" display="Declaration!D40"/>
    <hyperlink ref="D27" location="Declaration!D41" display="Declaration!D41"/>
    <hyperlink ref="D28" location="Declaration!D42" display="Declaration!D42"/>
    <hyperlink ref="D29" location="Declaration!D43" display="Declaration!D43"/>
    <hyperlink ref="D40" location="Declaration!D50" display="Click here to document answer on DRC Conflict-Free sourcing policy"/>
    <hyperlink ref="D41" location="Declaration!D52" display="Click here to document answer on public availability"/>
    <hyperlink ref="D42" location="Declaration!D54" display="Click here to document supplier requirement"/>
    <hyperlink ref="D43" location="Declaration!D56" display="Click here to document use of CFS list"/>
    <hyperlink ref="D44" location="Declaration!D58" display="Click here to document Conflict Minerals due diligence"/>
    <hyperlink ref="D45" location="Declaration!D62" display="Click here to document supplier requirement for surveys"/>
    <hyperlink ref="D46" location="Declaration!D64" display="Click here to document smelter name collection"/>
    <hyperlink ref="D47" location="Declaration!D66" display="Click here to document response documentation"/>
    <hyperlink ref="D48" location="Declaration!D68" display="Click here to document corrective action"/>
    <hyperlink ref="D49" location="Declaration!D70" display="Click here to document SEC disclosure requirement"/>
    <hyperlink ref="D50" location="'Product List'!B6" display="'Product List'!B6"/>
    <hyperlink ref="D51" location="Declaration!H23" display="Click here to provide smelter information"/>
    <hyperlink ref="A2" location="Declaration!D3" display="Click here to return to Declaration tab"/>
    <hyperlink ref="B2" location="'Smelter List'!J3" display="'Smelter List'!J3"/>
    <hyperlink ref="C2" location="'Product List'!E3" display="Click here to return to Product List"/>
    <hyperlink ref="D16" location="Declaration!D28" display="Click here to answer question 2 for Tantalum"/>
    <hyperlink ref="D17" location="Declaration!D29" display="Click here to answer question 2 for Tin"/>
    <hyperlink ref="D18" location="Declaration!D30" display="Click here to answer question 2 for Gold"/>
    <hyperlink ref="D19" location="Declaration!D31" display="Click here to answer question 2 for Tungsten"/>
    <hyperlink ref="D21" location="Declaration!D34" display="Click here to answer question 3 for Tantalum"/>
    <hyperlink ref="D22" location="Declaration!D35" display="Click here to answer question 3 for Tin"/>
    <hyperlink ref="D23" location="Declaration!D36" display="Click here to answer question 3 for Gold"/>
    <hyperlink ref="D24" location="Declaration!D37" display="Click here to answer question 3 for Tungsten"/>
    <hyperlink ref="D31" location="Declaration!D46" display="Click here to answer question 5 for Tantalum"/>
    <hyperlink ref="D32" location="Declaration!D47" display="Click here to answer question 5 for Tin"/>
    <hyperlink ref="D33" location="Declaration!D48" display="Click here to answer question 5 for Gold"/>
    <hyperlink ref="D34" location="Declaration!D49" display="Click here to answer question 5 for Tungsten"/>
    <hyperlink ref="D36" location="Declaration!D52" display="Declaration!D52"/>
    <hyperlink ref="D37" location="Declaration!D53" display="Declaration!D53"/>
    <hyperlink ref="D38" location="Declaration!D54" display="Declaration!D54"/>
    <hyperlink ref="D39" location="Declaration!D55" display="Declaration!D5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5"/>
  <dimension ref="A1:H307"/>
  <sheetViews>
    <sheetView workbookViewId="0">
      <selection activeCell="B6" sqref="B6"/>
    </sheetView>
  </sheetViews>
  <sheetFormatPr baseColWidth="10" defaultColWidth="8.75" defaultRowHeight="12.75"/>
  <cols>
    <col min="1" max="1" width="1.625" style="127" customWidth="1"/>
    <col min="2" max="2" width="39.875" style="188" customWidth="1"/>
    <col min="3" max="4" width="39.875" style="127" customWidth="1"/>
    <col min="5" max="5" width="16" style="127" customWidth="1"/>
    <col min="6" max="6" width="8.75" style="127"/>
    <col min="7" max="7" width="1.625" style="127" customWidth="1"/>
    <col min="8" max="16384" width="8.75" style="127"/>
  </cols>
  <sheetData>
    <row r="1" spans="1:7" ht="34.9" customHeight="1" thickTop="1">
      <c r="A1" s="321" t="str">
        <f ca="1">IF(Declaration!$D$3="English",A304,IF(Declaration!$D$3="中文 Chinese",B304,IF(Declaration!$D$3="日本語 Japanese",C304,IF(Declaration!$D$3="한국어 Korean",D304,IF(Declaration!$D$3="Français",E304,IF(Declaration!$D$3="Português",F304,IF(Declaration!$D$3="Deutsch",G304,IF(Declaration!$D$3="Español",H304))))))))</f>
        <v>Completion required only if reporting level "Product-level" selected on the 'Declaration' tab.</v>
      </c>
      <c r="B1" s="322"/>
      <c r="C1" s="322"/>
      <c r="D1" s="322"/>
      <c r="E1" s="322"/>
      <c r="F1" s="322"/>
      <c r="G1" s="323"/>
    </row>
    <row r="2" spans="1:7" ht="27">
      <c r="A2" s="324"/>
      <c r="B2" s="326"/>
      <c r="C2" s="327"/>
      <c r="D2" s="328"/>
      <c r="E2" s="128"/>
      <c r="F2" s="129"/>
      <c r="G2" s="332"/>
    </row>
    <row r="3" spans="1:7" ht="63" customHeight="1">
      <c r="A3" s="324"/>
      <c r="B3" s="329"/>
      <c r="C3" s="330"/>
      <c r="D3" s="331"/>
      <c r="E3" s="169"/>
      <c r="F3" s="130"/>
      <c r="G3" s="332"/>
    </row>
    <row r="4" spans="1:7" ht="15.75" customHeight="1">
      <c r="A4" s="324"/>
      <c r="B4" s="284" t="s">
        <v>2448</v>
      </c>
      <c r="C4" s="284"/>
      <c r="D4" s="284"/>
      <c r="E4" s="284"/>
      <c r="F4" s="284"/>
      <c r="G4" s="332"/>
    </row>
    <row r="5" spans="1:7" ht="15.75">
      <c r="A5" s="324"/>
      <c r="B5" s="185" t="str">
        <f ca="1">IF(Declaration!$D$3="English",A305,IF(Declaration!$D$3="中文 Chinese",B305,IF(Declaration!$D$3="日本語 Japanese",C305,IF(Declaration!$D$3="한국어 Korean",D305,IF(Declaration!$D$3="Français",E305,IF(Declaration!$D$3="Português",F305,IF(Declaration!$D$3="Deutsch",G305,IF(Declaration!$D$3="Español",H305))))))))</f>
        <v>Product or Item Number (*)</v>
      </c>
      <c r="C5" s="108" t="str">
        <f ca="1">IF(Declaration!$D$3="English",A306,IF(Declaration!$D$3="中文 Chinese",B306,IF(Declaration!$D$3="日本語 Japanese",C306,IF(Declaration!$D$3="한국어 Korean",D306,IF(Declaration!$D$3="Français",E306,IF(Declaration!$D$3="Português",F306,IF(Declaration!$D$3="Deutsch",G306,IF(Declaration!$D$3="Español",H306))))))))</f>
        <v>Product or Item Description</v>
      </c>
      <c r="D5" s="334" t="str">
        <f ca="1">IF(Declaration!$D$3="English",A307,IF(Declaration!$D$3="中文 Chinese",B307,IF(Declaration!$D$3="日本語 Japanese",C307,IF(Declaration!$D$3="한국어 Korean",D307,IF(Declaration!$D$3="Français",E307,IF(Declaration!$D$3="Português",F307,IF(Declaration!$D$3="Deutsch",G307,IF(Declaration!$D$3="Español",H307))))))))</f>
        <v>Comments</v>
      </c>
      <c r="E5" s="334"/>
      <c r="F5" s="334"/>
      <c r="G5" s="332"/>
    </row>
    <row r="6" spans="1:7" ht="15.75">
      <c r="A6" s="324"/>
      <c r="B6" s="186"/>
      <c r="C6" s="6"/>
      <c r="D6" s="318"/>
      <c r="E6" s="319"/>
      <c r="F6" s="320"/>
      <c r="G6" s="332"/>
    </row>
    <row r="7" spans="1:7" ht="15.75">
      <c r="A7" s="324"/>
      <c r="B7" s="186"/>
      <c r="C7" s="6"/>
      <c r="D7" s="318"/>
      <c r="E7" s="319"/>
      <c r="F7" s="320"/>
      <c r="G7" s="332"/>
    </row>
    <row r="8" spans="1:7" ht="15.75">
      <c r="A8" s="324"/>
      <c r="B8" s="186"/>
      <c r="C8" s="6"/>
      <c r="D8" s="318"/>
      <c r="E8" s="319"/>
      <c r="F8" s="320"/>
      <c r="G8" s="332"/>
    </row>
    <row r="9" spans="1:7" ht="15.75">
      <c r="A9" s="324"/>
      <c r="B9" s="186"/>
      <c r="C9" s="6"/>
      <c r="D9" s="318"/>
      <c r="E9" s="319"/>
      <c r="F9" s="320"/>
      <c r="G9" s="332"/>
    </row>
    <row r="10" spans="1:7" ht="15.75">
      <c r="A10" s="324"/>
      <c r="B10" s="186"/>
      <c r="C10" s="6"/>
      <c r="D10" s="318"/>
      <c r="E10" s="319"/>
      <c r="F10" s="320"/>
      <c r="G10" s="332"/>
    </row>
    <row r="11" spans="1:7" ht="15.75">
      <c r="A11" s="324"/>
      <c r="B11" s="186"/>
      <c r="C11" s="6"/>
      <c r="D11" s="318"/>
      <c r="E11" s="319"/>
      <c r="F11" s="320"/>
      <c r="G11" s="332"/>
    </row>
    <row r="12" spans="1:7" ht="15.75">
      <c r="A12" s="324"/>
      <c r="B12" s="186"/>
      <c r="C12" s="6"/>
      <c r="D12" s="318"/>
      <c r="E12" s="319"/>
      <c r="F12" s="320"/>
      <c r="G12" s="332"/>
    </row>
    <row r="13" spans="1:7" ht="15.75">
      <c r="A13" s="324"/>
      <c r="B13" s="186"/>
      <c r="C13" s="6"/>
      <c r="D13" s="318"/>
      <c r="E13" s="319"/>
      <c r="F13" s="320"/>
      <c r="G13" s="332"/>
    </row>
    <row r="14" spans="1:7" ht="15.75">
      <c r="A14" s="324"/>
      <c r="B14" s="186"/>
      <c r="C14" s="6"/>
      <c r="D14" s="318"/>
      <c r="E14" s="319"/>
      <c r="F14" s="320"/>
      <c r="G14" s="332"/>
    </row>
    <row r="15" spans="1:7" ht="15.75">
      <c r="A15" s="324"/>
      <c r="B15" s="186"/>
      <c r="C15" s="6"/>
      <c r="D15" s="318"/>
      <c r="E15" s="319"/>
      <c r="F15" s="320"/>
      <c r="G15" s="332"/>
    </row>
    <row r="16" spans="1:7" ht="15.75">
      <c r="A16" s="324"/>
      <c r="B16" s="186"/>
      <c r="C16" s="6"/>
      <c r="D16" s="318"/>
      <c r="E16" s="319"/>
      <c r="F16" s="320"/>
      <c r="G16" s="332"/>
    </row>
    <row r="17" spans="1:7" ht="15.75">
      <c r="A17" s="324"/>
      <c r="B17" s="186"/>
      <c r="C17" s="6"/>
      <c r="D17" s="318"/>
      <c r="E17" s="319"/>
      <c r="F17" s="320"/>
      <c r="G17" s="332"/>
    </row>
    <row r="18" spans="1:7" ht="15.75">
      <c r="A18" s="324"/>
      <c r="B18" s="186"/>
      <c r="C18" s="6"/>
      <c r="D18" s="318"/>
      <c r="E18" s="319"/>
      <c r="F18" s="320"/>
      <c r="G18" s="332"/>
    </row>
    <row r="19" spans="1:7" ht="15.75">
      <c r="A19" s="324"/>
      <c r="B19" s="186"/>
      <c r="C19" s="6"/>
      <c r="D19" s="318"/>
      <c r="E19" s="319"/>
      <c r="F19" s="320"/>
      <c r="G19" s="332"/>
    </row>
    <row r="20" spans="1:7" ht="15.75">
      <c r="A20" s="324"/>
      <c r="B20" s="186"/>
      <c r="C20" s="6"/>
      <c r="D20" s="318"/>
      <c r="E20" s="319"/>
      <c r="F20" s="320"/>
      <c r="G20" s="332"/>
    </row>
    <row r="21" spans="1:7" ht="15.75">
      <c r="A21" s="324"/>
      <c r="B21" s="186"/>
      <c r="C21" s="6"/>
      <c r="D21" s="318"/>
      <c r="E21" s="319"/>
      <c r="F21" s="320"/>
      <c r="G21" s="332"/>
    </row>
    <row r="22" spans="1:7" ht="15.75">
      <c r="A22" s="324"/>
      <c r="B22" s="186"/>
      <c r="C22" s="6"/>
      <c r="D22" s="318"/>
      <c r="E22" s="319"/>
      <c r="F22" s="320"/>
      <c r="G22" s="332"/>
    </row>
    <row r="23" spans="1:7" ht="15.75">
      <c r="A23" s="324"/>
      <c r="B23" s="186"/>
      <c r="C23" s="6"/>
      <c r="D23" s="318"/>
      <c r="E23" s="319"/>
      <c r="F23" s="320"/>
      <c r="G23" s="332"/>
    </row>
    <row r="24" spans="1:7" ht="15.75">
      <c r="A24" s="324"/>
      <c r="B24" s="186"/>
      <c r="C24" s="6"/>
      <c r="D24" s="318"/>
      <c r="E24" s="319"/>
      <c r="F24" s="320"/>
      <c r="G24" s="332"/>
    </row>
    <row r="25" spans="1:7" ht="15.75">
      <c r="A25" s="324"/>
      <c r="B25" s="186"/>
      <c r="C25" s="6"/>
      <c r="D25" s="318"/>
      <c r="E25" s="319"/>
      <c r="F25" s="320"/>
      <c r="G25" s="332"/>
    </row>
    <row r="26" spans="1:7" ht="15.75">
      <c r="A26" s="324"/>
      <c r="B26" s="186"/>
      <c r="C26" s="6"/>
      <c r="D26" s="318"/>
      <c r="E26" s="319"/>
      <c r="F26" s="320"/>
      <c r="G26" s="332"/>
    </row>
    <row r="27" spans="1:7" ht="15.75">
      <c r="A27" s="324"/>
      <c r="B27" s="186"/>
      <c r="C27" s="6"/>
      <c r="D27" s="318"/>
      <c r="E27" s="319"/>
      <c r="F27" s="320"/>
      <c r="G27" s="332"/>
    </row>
    <row r="28" spans="1:7" ht="15.75">
      <c r="A28" s="324"/>
      <c r="B28" s="186"/>
      <c r="C28" s="6"/>
      <c r="D28" s="318"/>
      <c r="E28" s="319"/>
      <c r="F28" s="320"/>
      <c r="G28" s="332"/>
    </row>
    <row r="29" spans="1:7" ht="15.75">
      <c r="A29" s="324"/>
      <c r="B29" s="186"/>
      <c r="C29" s="6"/>
      <c r="D29" s="318"/>
      <c r="E29" s="319"/>
      <c r="F29" s="320"/>
      <c r="G29" s="332"/>
    </row>
    <row r="30" spans="1:7" ht="15.75">
      <c r="A30" s="324"/>
      <c r="B30" s="186"/>
      <c r="C30" s="6"/>
      <c r="D30" s="318"/>
      <c r="E30" s="319"/>
      <c r="F30" s="320"/>
      <c r="G30" s="332"/>
    </row>
    <row r="31" spans="1:7" ht="15.75">
      <c r="A31" s="324"/>
      <c r="B31" s="186"/>
      <c r="C31" s="6"/>
      <c r="D31" s="318"/>
      <c r="E31" s="319"/>
      <c r="F31" s="320"/>
      <c r="G31" s="332"/>
    </row>
    <row r="32" spans="1:7" ht="15.75">
      <c r="A32" s="324"/>
      <c r="B32" s="186"/>
      <c r="C32" s="6"/>
      <c r="D32" s="318"/>
      <c r="E32" s="319"/>
      <c r="F32" s="320"/>
      <c r="G32" s="332"/>
    </row>
    <row r="33" spans="1:7" ht="15.75">
      <c r="A33" s="324"/>
      <c r="B33" s="186"/>
      <c r="C33" s="6"/>
      <c r="D33" s="318"/>
      <c r="E33" s="319"/>
      <c r="F33" s="320"/>
      <c r="G33" s="332"/>
    </row>
    <row r="34" spans="1:7" ht="15.75">
      <c r="A34" s="324"/>
      <c r="B34" s="186"/>
      <c r="C34" s="6"/>
      <c r="D34" s="318"/>
      <c r="E34" s="319"/>
      <c r="F34" s="320"/>
      <c r="G34" s="332"/>
    </row>
    <row r="35" spans="1:7" ht="15.75">
      <c r="A35" s="324"/>
      <c r="B35" s="186"/>
      <c r="C35" s="6"/>
      <c r="D35" s="318"/>
      <c r="E35" s="319"/>
      <c r="F35" s="320"/>
      <c r="G35" s="332"/>
    </row>
    <row r="36" spans="1:7" ht="15.75">
      <c r="A36" s="324"/>
      <c r="B36" s="186"/>
      <c r="C36" s="6"/>
      <c r="D36" s="318"/>
      <c r="E36" s="319"/>
      <c r="F36" s="320"/>
      <c r="G36" s="332"/>
    </row>
    <row r="37" spans="1:7" ht="15.75">
      <c r="A37" s="324"/>
      <c r="B37" s="186"/>
      <c r="C37" s="6"/>
      <c r="D37" s="318"/>
      <c r="E37" s="319"/>
      <c r="F37" s="320"/>
      <c r="G37" s="332"/>
    </row>
    <row r="38" spans="1:7" ht="15.75">
      <c r="A38" s="324"/>
      <c r="B38" s="186"/>
      <c r="C38" s="6"/>
      <c r="D38" s="318"/>
      <c r="E38" s="319"/>
      <c r="F38" s="320"/>
      <c r="G38" s="332"/>
    </row>
    <row r="39" spans="1:7" ht="15.75">
      <c r="A39" s="324"/>
      <c r="B39" s="186"/>
      <c r="C39" s="6"/>
      <c r="D39" s="318"/>
      <c r="E39" s="319"/>
      <c r="F39" s="320"/>
      <c r="G39" s="332"/>
    </row>
    <row r="40" spans="1:7" ht="15.75">
      <c r="A40" s="324"/>
      <c r="B40" s="186"/>
      <c r="C40" s="6"/>
      <c r="D40" s="318"/>
      <c r="E40" s="319"/>
      <c r="F40" s="320"/>
      <c r="G40" s="332"/>
    </row>
    <row r="41" spans="1:7" ht="15.75">
      <c r="A41" s="324"/>
      <c r="B41" s="186"/>
      <c r="C41" s="6"/>
      <c r="D41" s="318"/>
      <c r="E41" s="319"/>
      <c r="F41" s="320"/>
      <c r="G41" s="332"/>
    </row>
    <row r="42" spans="1:7" ht="15.75">
      <c r="A42" s="324"/>
      <c r="B42" s="186"/>
      <c r="C42" s="6"/>
      <c r="D42" s="318"/>
      <c r="E42" s="319"/>
      <c r="F42" s="320"/>
      <c r="G42" s="332"/>
    </row>
    <row r="43" spans="1:7" ht="15.75">
      <c r="A43" s="324"/>
      <c r="B43" s="186"/>
      <c r="C43" s="6"/>
      <c r="D43" s="318"/>
      <c r="E43" s="319"/>
      <c r="F43" s="320"/>
      <c r="G43" s="332"/>
    </row>
    <row r="44" spans="1:7" ht="15.75">
      <c r="A44" s="324"/>
      <c r="B44" s="186"/>
      <c r="C44" s="6"/>
      <c r="D44" s="318"/>
      <c r="E44" s="319"/>
      <c r="F44" s="320"/>
      <c r="G44" s="332"/>
    </row>
    <row r="45" spans="1:7" ht="15.75">
      <c r="A45" s="324"/>
      <c r="B45" s="186"/>
      <c r="C45" s="6"/>
      <c r="D45" s="318"/>
      <c r="E45" s="319"/>
      <c r="F45" s="320"/>
      <c r="G45" s="332"/>
    </row>
    <row r="46" spans="1:7" ht="15.75">
      <c r="A46" s="324"/>
      <c r="B46" s="186"/>
      <c r="C46" s="6"/>
      <c r="D46" s="318"/>
      <c r="E46" s="319"/>
      <c r="F46" s="320"/>
      <c r="G46" s="332"/>
    </row>
    <row r="47" spans="1:7" ht="15.75">
      <c r="A47" s="324"/>
      <c r="B47" s="186"/>
      <c r="C47" s="6"/>
      <c r="D47" s="318"/>
      <c r="E47" s="319"/>
      <c r="F47" s="320"/>
      <c r="G47" s="332"/>
    </row>
    <row r="48" spans="1:7" ht="15.75">
      <c r="A48" s="324"/>
      <c r="B48" s="186"/>
      <c r="C48" s="6"/>
      <c r="D48" s="318"/>
      <c r="E48" s="319"/>
      <c r="F48" s="320"/>
      <c r="G48" s="332"/>
    </row>
    <row r="49" spans="1:7" ht="15.75">
      <c r="A49" s="324"/>
      <c r="B49" s="186"/>
      <c r="C49" s="6"/>
      <c r="D49" s="318"/>
      <c r="E49" s="319"/>
      <c r="F49" s="320"/>
      <c r="G49" s="332"/>
    </row>
    <row r="50" spans="1:7" ht="15.75">
      <c r="A50" s="324"/>
      <c r="B50" s="186"/>
      <c r="C50" s="6"/>
      <c r="D50" s="318"/>
      <c r="E50" s="319"/>
      <c r="F50" s="320"/>
      <c r="G50" s="332"/>
    </row>
    <row r="51" spans="1:7" ht="15.75">
      <c r="A51" s="324"/>
      <c r="B51" s="186"/>
      <c r="C51" s="6"/>
      <c r="D51" s="318"/>
      <c r="E51" s="319"/>
      <c r="F51" s="320"/>
      <c r="G51" s="332"/>
    </row>
    <row r="52" spans="1:7" ht="15.75">
      <c r="A52" s="324"/>
      <c r="B52" s="186"/>
      <c r="C52" s="6"/>
      <c r="D52" s="318"/>
      <c r="E52" s="319"/>
      <c r="F52" s="320"/>
      <c r="G52" s="332"/>
    </row>
    <row r="53" spans="1:7" ht="15.75">
      <c r="A53" s="324"/>
      <c r="B53" s="186"/>
      <c r="C53" s="6"/>
      <c r="D53" s="318"/>
      <c r="E53" s="319"/>
      <c r="F53" s="320"/>
      <c r="G53" s="332"/>
    </row>
    <row r="54" spans="1:7" ht="15.75">
      <c r="A54" s="324"/>
      <c r="B54" s="186"/>
      <c r="C54" s="6"/>
      <c r="D54" s="318"/>
      <c r="E54" s="319"/>
      <c r="F54" s="320"/>
      <c r="G54" s="332"/>
    </row>
    <row r="55" spans="1:7" ht="15.75">
      <c r="A55" s="324"/>
      <c r="B55" s="186"/>
      <c r="C55" s="6"/>
      <c r="D55" s="318"/>
      <c r="E55" s="319"/>
      <c r="F55" s="320"/>
      <c r="G55" s="332"/>
    </row>
    <row r="56" spans="1:7" ht="15.75">
      <c r="A56" s="324"/>
      <c r="B56" s="186"/>
      <c r="C56" s="6"/>
      <c r="D56" s="318"/>
      <c r="E56" s="319"/>
      <c r="F56" s="320"/>
      <c r="G56" s="332"/>
    </row>
    <row r="57" spans="1:7" ht="15.75">
      <c r="A57" s="324"/>
      <c r="B57" s="186"/>
      <c r="C57" s="6"/>
      <c r="D57" s="318"/>
      <c r="E57" s="319"/>
      <c r="F57" s="320"/>
      <c r="G57" s="332"/>
    </row>
    <row r="58" spans="1:7" ht="15.75">
      <c r="A58" s="324"/>
      <c r="B58" s="186"/>
      <c r="C58" s="6"/>
      <c r="D58" s="318"/>
      <c r="E58" s="319"/>
      <c r="F58" s="320"/>
      <c r="G58" s="332"/>
    </row>
    <row r="59" spans="1:7" ht="15.75">
      <c r="A59" s="324"/>
      <c r="B59" s="186"/>
      <c r="C59" s="6"/>
      <c r="D59" s="318"/>
      <c r="E59" s="319"/>
      <c r="F59" s="320"/>
      <c r="G59" s="332"/>
    </row>
    <row r="60" spans="1:7" ht="15.75">
      <c r="A60" s="324"/>
      <c r="B60" s="186"/>
      <c r="C60" s="6"/>
      <c r="D60" s="318"/>
      <c r="E60" s="319"/>
      <c r="F60" s="320"/>
      <c r="G60" s="332"/>
    </row>
    <row r="61" spans="1:7" ht="15.75">
      <c r="A61" s="324"/>
      <c r="B61" s="186"/>
      <c r="C61" s="6"/>
      <c r="D61" s="318"/>
      <c r="E61" s="319"/>
      <c r="F61" s="320"/>
      <c r="G61" s="332"/>
    </row>
    <row r="62" spans="1:7" ht="15.75">
      <c r="A62" s="324"/>
      <c r="B62" s="186"/>
      <c r="C62" s="6"/>
      <c r="D62" s="318"/>
      <c r="E62" s="319"/>
      <c r="F62" s="320"/>
      <c r="G62" s="332"/>
    </row>
    <row r="63" spans="1:7" ht="15.75">
      <c r="A63" s="324"/>
      <c r="B63" s="186"/>
      <c r="C63" s="6"/>
      <c r="D63" s="318"/>
      <c r="E63" s="319"/>
      <c r="F63" s="320"/>
      <c r="G63" s="332"/>
    </row>
    <row r="64" spans="1:7" ht="15.75">
      <c r="A64" s="324"/>
      <c r="B64" s="186"/>
      <c r="C64" s="6"/>
      <c r="D64" s="318"/>
      <c r="E64" s="319"/>
      <c r="F64" s="320"/>
      <c r="G64" s="332"/>
    </row>
    <row r="65" spans="1:7" ht="15.75">
      <c r="A65" s="324"/>
      <c r="B65" s="186"/>
      <c r="C65" s="6"/>
      <c r="D65" s="318"/>
      <c r="E65" s="319"/>
      <c r="F65" s="320"/>
      <c r="G65" s="332"/>
    </row>
    <row r="66" spans="1:7" ht="15.75">
      <c r="A66" s="324"/>
      <c r="B66" s="186"/>
      <c r="C66" s="6"/>
      <c r="D66" s="318"/>
      <c r="E66" s="319"/>
      <c r="F66" s="320"/>
      <c r="G66" s="332"/>
    </row>
    <row r="67" spans="1:7" ht="15.75">
      <c r="A67" s="324"/>
      <c r="B67" s="186"/>
      <c r="C67" s="6"/>
      <c r="D67" s="318"/>
      <c r="E67" s="319"/>
      <c r="F67" s="320"/>
      <c r="G67" s="332"/>
    </row>
    <row r="68" spans="1:7" ht="15.75">
      <c r="A68" s="324"/>
      <c r="B68" s="186"/>
      <c r="C68" s="6"/>
      <c r="D68" s="318"/>
      <c r="E68" s="319"/>
      <c r="F68" s="320"/>
      <c r="G68" s="332"/>
    </row>
    <row r="69" spans="1:7" ht="15.75">
      <c r="A69" s="324"/>
      <c r="B69" s="186"/>
      <c r="C69" s="6"/>
      <c r="D69" s="318"/>
      <c r="E69" s="319"/>
      <c r="F69" s="320"/>
      <c r="G69" s="332"/>
    </row>
    <row r="70" spans="1:7" ht="15.75">
      <c r="A70" s="324"/>
      <c r="B70" s="186"/>
      <c r="C70" s="6"/>
      <c r="D70" s="318"/>
      <c r="E70" s="319"/>
      <c r="F70" s="320"/>
      <c r="G70" s="332"/>
    </row>
    <row r="71" spans="1:7" ht="15.75">
      <c r="A71" s="324"/>
      <c r="B71" s="186"/>
      <c r="C71" s="6"/>
      <c r="D71" s="318"/>
      <c r="E71" s="319"/>
      <c r="F71" s="320"/>
      <c r="G71" s="332"/>
    </row>
    <row r="72" spans="1:7" ht="15.75">
      <c r="A72" s="324"/>
      <c r="B72" s="186"/>
      <c r="C72" s="6"/>
      <c r="D72" s="318"/>
      <c r="E72" s="319"/>
      <c r="F72" s="320"/>
      <c r="G72" s="332"/>
    </row>
    <row r="73" spans="1:7" ht="15.75">
      <c r="A73" s="324"/>
      <c r="B73" s="186"/>
      <c r="C73" s="6"/>
      <c r="D73" s="318"/>
      <c r="E73" s="319"/>
      <c r="F73" s="320"/>
      <c r="G73" s="332"/>
    </row>
    <row r="74" spans="1:7" ht="15.75">
      <c r="A74" s="324"/>
      <c r="B74" s="186"/>
      <c r="C74" s="6"/>
      <c r="D74" s="318"/>
      <c r="E74" s="319"/>
      <c r="F74" s="320"/>
      <c r="G74" s="332"/>
    </row>
    <row r="75" spans="1:7" ht="15.75">
      <c r="A75" s="324"/>
      <c r="B75" s="186"/>
      <c r="C75" s="6"/>
      <c r="D75" s="318"/>
      <c r="E75" s="319"/>
      <c r="F75" s="320"/>
      <c r="G75" s="332"/>
    </row>
    <row r="76" spans="1:7" ht="15.75">
      <c r="A76" s="324"/>
      <c r="B76" s="186"/>
      <c r="C76" s="6"/>
      <c r="D76" s="318"/>
      <c r="E76" s="319"/>
      <c r="F76" s="320"/>
      <c r="G76" s="332"/>
    </row>
    <row r="77" spans="1:7" ht="15.75">
      <c r="A77" s="324"/>
      <c r="B77" s="186"/>
      <c r="C77" s="6"/>
      <c r="D77" s="318"/>
      <c r="E77" s="319"/>
      <c r="F77" s="320"/>
      <c r="G77" s="332"/>
    </row>
    <row r="78" spans="1:7" ht="15.75">
      <c r="A78" s="324"/>
      <c r="B78" s="186"/>
      <c r="C78" s="6"/>
      <c r="D78" s="318"/>
      <c r="E78" s="319"/>
      <c r="F78" s="320"/>
      <c r="G78" s="332"/>
    </row>
    <row r="79" spans="1:7" ht="15.75">
      <c r="A79" s="324"/>
      <c r="B79" s="186"/>
      <c r="C79" s="6"/>
      <c r="D79" s="318"/>
      <c r="E79" s="319"/>
      <c r="F79" s="320"/>
      <c r="G79" s="332"/>
    </row>
    <row r="80" spans="1:7" ht="15.75">
      <c r="A80" s="324"/>
      <c r="B80" s="186"/>
      <c r="C80" s="6"/>
      <c r="D80" s="318"/>
      <c r="E80" s="319"/>
      <c r="F80" s="320"/>
      <c r="G80" s="332"/>
    </row>
    <row r="81" spans="1:7" ht="15.75">
      <c r="A81" s="324"/>
      <c r="B81" s="186"/>
      <c r="C81" s="6"/>
      <c r="D81" s="318"/>
      <c r="E81" s="319"/>
      <c r="F81" s="320"/>
      <c r="G81" s="332"/>
    </row>
    <row r="82" spans="1:7" ht="15.75">
      <c r="A82" s="324"/>
      <c r="B82" s="186"/>
      <c r="C82" s="6"/>
      <c r="D82" s="318"/>
      <c r="E82" s="319"/>
      <c r="F82" s="320"/>
      <c r="G82" s="332"/>
    </row>
    <row r="83" spans="1:7" ht="15.75">
      <c r="A83" s="324"/>
      <c r="B83" s="186"/>
      <c r="C83" s="6"/>
      <c r="D83" s="318"/>
      <c r="E83" s="319"/>
      <c r="F83" s="320"/>
      <c r="G83" s="332"/>
    </row>
    <row r="84" spans="1:7" ht="15.75">
      <c r="A84" s="324"/>
      <c r="B84" s="186"/>
      <c r="C84" s="6"/>
      <c r="D84" s="318"/>
      <c r="E84" s="319"/>
      <c r="F84" s="320"/>
      <c r="G84" s="332"/>
    </row>
    <row r="85" spans="1:7" ht="15.75">
      <c r="A85" s="324"/>
      <c r="B85" s="186"/>
      <c r="C85" s="6"/>
      <c r="D85" s="318"/>
      <c r="E85" s="319"/>
      <c r="F85" s="320"/>
      <c r="G85" s="332"/>
    </row>
    <row r="86" spans="1:7" ht="15.75">
      <c r="A86" s="324"/>
      <c r="B86" s="186"/>
      <c r="C86" s="6"/>
      <c r="D86" s="318"/>
      <c r="E86" s="319"/>
      <c r="F86" s="320"/>
      <c r="G86" s="332"/>
    </row>
    <row r="87" spans="1:7" ht="15.75">
      <c r="A87" s="324"/>
      <c r="B87" s="186"/>
      <c r="C87" s="6"/>
      <c r="D87" s="318"/>
      <c r="E87" s="319"/>
      <c r="F87" s="320"/>
      <c r="G87" s="332"/>
    </row>
    <row r="88" spans="1:7" ht="15.75">
      <c r="A88" s="324"/>
      <c r="B88" s="186"/>
      <c r="C88" s="6"/>
      <c r="D88" s="318"/>
      <c r="E88" s="319"/>
      <c r="F88" s="320"/>
      <c r="G88" s="332"/>
    </row>
    <row r="89" spans="1:7" ht="15.75">
      <c r="A89" s="324"/>
      <c r="B89" s="186"/>
      <c r="C89" s="6"/>
      <c r="D89" s="318"/>
      <c r="E89" s="319"/>
      <c r="F89" s="320"/>
      <c r="G89" s="332"/>
    </row>
    <row r="90" spans="1:7" ht="15.75">
      <c r="A90" s="324"/>
      <c r="B90" s="186"/>
      <c r="C90" s="6"/>
      <c r="D90" s="318"/>
      <c r="E90" s="319"/>
      <c r="F90" s="320"/>
      <c r="G90" s="332"/>
    </row>
    <row r="91" spans="1:7" ht="15.75">
      <c r="A91" s="324"/>
      <c r="B91" s="186"/>
      <c r="C91" s="6"/>
      <c r="D91" s="318"/>
      <c r="E91" s="319"/>
      <c r="F91" s="320"/>
      <c r="G91" s="332"/>
    </row>
    <row r="92" spans="1:7" ht="15.75">
      <c r="A92" s="324"/>
      <c r="B92" s="186"/>
      <c r="C92" s="6"/>
      <c r="D92" s="318"/>
      <c r="E92" s="319"/>
      <c r="F92" s="320"/>
      <c r="G92" s="332"/>
    </row>
    <row r="93" spans="1:7" ht="15.75">
      <c r="A93" s="324"/>
      <c r="B93" s="186"/>
      <c r="C93" s="6"/>
      <c r="D93" s="318"/>
      <c r="E93" s="319"/>
      <c r="F93" s="320"/>
      <c r="G93" s="332"/>
    </row>
    <row r="94" spans="1:7" ht="15.75">
      <c r="A94" s="324"/>
      <c r="B94" s="186"/>
      <c r="C94" s="6"/>
      <c r="D94" s="318"/>
      <c r="E94" s="319"/>
      <c r="F94" s="320"/>
      <c r="G94" s="332"/>
    </row>
    <row r="95" spans="1:7" ht="15.75">
      <c r="A95" s="324"/>
      <c r="B95" s="186"/>
      <c r="C95" s="6"/>
      <c r="D95" s="318"/>
      <c r="E95" s="319"/>
      <c r="F95" s="320"/>
      <c r="G95" s="332"/>
    </row>
    <row r="96" spans="1:7" ht="15.75">
      <c r="A96" s="324"/>
      <c r="B96" s="186"/>
      <c r="C96" s="6"/>
      <c r="D96" s="318"/>
      <c r="E96" s="319"/>
      <c r="F96" s="320"/>
      <c r="G96" s="332"/>
    </row>
    <row r="97" spans="1:7" ht="15.75">
      <c r="A97" s="324"/>
      <c r="B97" s="186"/>
      <c r="C97" s="6"/>
      <c r="D97" s="318"/>
      <c r="E97" s="319"/>
      <c r="F97" s="320"/>
      <c r="G97" s="332"/>
    </row>
    <row r="98" spans="1:7" ht="15.75">
      <c r="A98" s="324"/>
      <c r="B98" s="186"/>
      <c r="C98" s="6"/>
      <c r="D98" s="318"/>
      <c r="E98" s="319"/>
      <c r="F98" s="320"/>
      <c r="G98" s="332"/>
    </row>
    <row r="99" spans="1:7" ht="15.75">
      <c r="A99" s="324"/>
      <c r="B99" s="186"/>
      <c r="C99" s="6"/>
      <c r="D99" s="318"/>
      <c r="E99" s="319"/>
      <c r="F99" s="320"/>
      <c r="G99" s="332"/>
    </row>
    <row r="100" spans="1:7" ht="15.75">
      <c r="A100" s="324"/>
      <c r="B100" s="186"/>
      <c r="C100" s="6"/>
      <c r="D100" s="318"/>
      <c r="E100" s="319"/>
      <c r="F100" s="320"/>
      <c r="G100" s="332"/>
    </row>
    <row r="101" spans="1:7" ht="15.75">
      <c r="A101" s="324"/>
      <c r="B101" s="187"/>
      <c r="C101" s="58"/>
      <c r="D101" s="318"/>
      <c r="E101" s="319"/>
      <c r="F101" s="320"/>
      <c r="G101" s="332"/>
    </row>
    <row r="102" spans="1:7" ht="15.75">
      <c r="A102" s="324"/>
      <c r="B102" s="187"/>
      <c r="C102" s="58"/>
      <c r="D102" s="318"/>
      <c r="E102" s="319"/>
      <c r="F102" s="320"/>
      <c r="G102" s="332"/>
    </row>
    <row r="103" spans="1:7" ht="15.75">
      <c r="A103" s="324"/>
      <c r="B103" s="187"/>
      <c r="C103" s="58"/>
      <c r="D103" s="318"/>
      <c r="E103" s="319"/>
      <c r="F103" s="320"/>
      <c r="G103" s="332"/>
    </row>
    <row r="104" spans="1:7" ht="15.75">
      <c r="A104" s="324"/>
      <c r="B104" s="187"/>
      <c r="C104" s="58"/>
      <c r="D104" s="318"/>
      <c r="E104" s="319"/>
      <c r="F104" s="320"/>
      <c r="G104" s="332"/>
    </row>
    <row r="105" spans="1:7" ht="15.75">
      <c r="A105" s="324"/>
      <c r="B105" s="187"/>
      <c r="C105" s="58"/>
      <c r="D105" s="318"/>
      <c r="E105" s="319"/>
      <c r="F105" s="320"/>
      <c r="G105" s="332"/>
    </row>
    <row r="106" spans="1:7" ht="15.75">
      <c r="A106" s="324"/>
      <c r="B106" s="187"/>
      <c r="C106" s="58"/>
      <c r="D106" s="318"/>
      <c r="E106" s="319"/>
      <c r="F106" s="320"/>
      <c r="G106" s="332"/>
    </row>
    <row r="107" spans="1:7" ht="15.75">
      <c r="A107" s="324"/>
      <c r="B107" s="187"/>
      <c r="C107" s="58"/>
      <c r="D107" s="318"/>
      <c r="E107" s="319"/>
      <c r="F107" s="320"/>
      <c r="G107" s="332"/>
    </row>
    <row r="108" spans="1:7" ht="15.75">
      <c r="A108" s="324"/>
      <c r="B108" s="187"/>
      <c r="C108" s="58"/>
      <c r="D108" s="318"/>
      <c r="E108" s="319"/>
      <c r="F108" s="320"/>
      <c r="G108" s="332"/>
    </row>
    <row r="109" spans="1:7" ht="15.75">
      <c r="A109" s="324"/>
      <c r="B109" s="187"/>
      <c r="C109" s="58"/>
      <c r="D109" s="318"/>
      <c r="E109" s="319"/>
      <c r="F109" s="320"/>
      <c r="G109" s="332"/>
    </row>
    <row r="110" spans="1:7" ht="15.75">
      <c r="A110" s="324"/>
      <c r="B110" s="187"/>
      <c r="C110" s="58"/>
      <c r="D110" s="318"/>
      <c r="E110" s="319"/>
      <c r="F110" s="320"/>
      <c r="G110" s="332"/>
    </row>
    <row r="111" spans="1:7" ht="15.75">
      <c r="A111" s="324"/>
      <c r="B111" s="187"/>
      <c r="C111" s="58"/>
      <c r="D111" s="318"/>
      <c r="E111" s="319"/>
      <c r="F111" s="320"/>
      <c r="G111" s="332"/>
    </row>
    <row r="112" spans="1:7" ht="15.75">
      <c r="A112" s="324"/>
      <c r="B112" s="187"/>
      <c r="C112" s="58"/>
      <c r="D112" s="318"/>
      <c r="E112" s="319"/>
      <c r="F112" s="320"/>
      <c r="G112" s="332"/>
    </row>
    <row r="113" spans="1:7" ht="15.75">
      <c r="A113" s="324"/>
      <c r="B113" s="187"/>
      <c r="C113" s="58"/>
      <c r="D113" s="318"/>
      <c r="E113" s="319"/>
      <c r="F113" s="320"/>
      <c r="G113" s="332"/>
    </row>
    <row r="114" spans="1:7" ht="15.75">
      <c r="A114" s="324"/>
      <c r="B114" s="187"/>
      <c r="C114" s="58"/>
      <c r="D114" s="318"/>
      <c r="E114" s="319"/>
      <c r="F114" s="320"/>
      <c r="G114" s="332"/>
    </row>
    <row r="115" spans="1:7" ht="15.75">
      <c r="A115" s="324"/>
      <c r="B115" s="187"/>
      <c r="C115" s="58"/>
      <c r="D115" s="318"/>
      <c r="E115" s="319"/>
      <c r="F115" s="320"/>
      <c r="G115" s="332"/>
    </row>
    <row r="116" spans="1:7" ht="15.75">
      <c r="A116" s="324"/>
      <c r="B116" s="187"/>
      <c r="C116" s="58"/>
      <c r="D116" s="318"/>
      <c r="E116" s="319"/>
      <c r="F116" s="320"/>
      <c r="G116" s="332"/>
    </row>
    <row r="117" spans="1:7" ht="15.75">
      <c r="A117" s="324"/>
      <c r="B117" s="187"/>
      <c r="C117" s="58"/>
      <c r="D117" s="318"/>
      <c r="E117" s="319"/>
      <c r="F117" s="320"/>
      <c r="G117" s="332"/>
    </row>
    <row r="118" spans="1:7" ht="15.75">
      <c r="A118" s="324"/>
      <c r="B118" s="187"/>
      <c r="C118" s="58"/>
      <c r="D118" s="318"/>
      <c r="E118" s="319"/>
      <c r="F118" s="320"/>
      <c r="G118" s="332"/>
    </row>
    <row r="119" spans="1:7" ht="15.75">
      <c r="A119" s="324"/>
      <c r="B119" s="187"/>
      <c r="C119" s="58"/>
      <c r="D119" s="318"/>
      <c r="E119" s="319"/>
      <c r="F119" s="320"/>
      <c r="G119" s="332"/>
    </row>
    <row r="120" spans="1:7" ht="15.75">
      <c r="A120" s="324"/>
      <c r="B120" s="187"/>
      <c r="C120" s="58"/>
      <c r="D120" s="318"/>
      <c r="E120" s="319"/>
      <c r="F120" s="320"/>
      <c r="G120" s="332"/>
    </row>
    <row r="121" spans="1:7" ht="15.75">
      <c r="A121" s="324"/>
      <c r="B121" s="187"/>
      <c r="C121" s="58"/>
      <c r="D121" s="318"/>
      <c r="E121" s="319"/>
      <c r="F121" s="320"/>
      <c r="G121" s="332"/>
    </row>
    <row r="122" spans="1:7" ht="15.75">
      <c r="A122" s="324"/>
      <c r="B122" s="187"/>
      <c r="C122" s="58"/>
      <c r="D122" s="318"/>
      <c r="E122" s="319"/>
      <c r="F122" s="320"/>
      <c r="G122" s="332"/>
    </row>
    <row r="123" spans="1:7" ht="15.75">
      <c r="A123" s="324"/>
      <c r="B123" s="187"/>
      <c r="C123" s="58"/>
      <c r="D123" s="318"/>
      <c r="E123" s="319"/>
      <c r="F123" s="320"/>
      <c r="G123" s="332"/>
    </row>
    <row r="124" spans="1:7" ht="15.75">
      <c r="A124" s="324"/>
      <c r="B124" s="187"/>
      <c r="C124" s="58"/>
      <c r="D124" s="318"/>
      <c r="E124" s="319"/>
      <c r="F124" s="320"/>
      <c r="G124" s="332"/>
    </row>
    <row r="125" spans="1:7" ht="15.75">
      <c r="A125" s="324"/>
      <c r="B125" s="187"/>
      <c r="C125" s="58"/>
      <c r="D125" s="318"/>
      <c r="E125" s="319"/>
      <c r="F125" s="320"/>
      <c r="G125" s="332"/>
    </row>
    <row r="126" spans="1:7" ht="15.75">
      <c r="A126" s="324"/>
      <c r="B126" s="187"/>
      <c r="C126" s="58"/>
      <c r="D126" s="318"/>
      <c r="E126" s="319"/>
      <c r="F126" s="320"/>
      <c r="G126" s="332"/>
    </row>
    <row r="127" spans="1:7" ht="15.75">
      <c r="A127" s="324"/>
      <c r="B127" s="187"/>
      <c r="C127" s="58"/>
      <c r="D127" s="318"/>
      <c r="E127" s="319"/>
      <c r="F127" s="320"/>
      <c r="G127" s="332"/>
    </row>
    <row r="128" spans="1:7" ht="15.75">
      <c r="A128" s="324"/>
      <c r="B128" s="187"/>
      <c r="C128" s="58"/>
      <c r="D128" s="318"/>
      <c r="E128" s="319"/>
      <c r="F128" s="320"/>
      <c r="G128" s="332"/>
    </row>
    <row r="129" spans="1:7" ht="15.75">
      <c r="A129" s="324"/>
      <c r="B129" s="187"/>
      <c r="C129" s="58"/>
      <c r="D129" s="318"/>
      <c r="E129" s="319"/>
      <c r="F129" s="320"/>
      <c r="G129" s="332"/>
    </row>
    <row r="130" spans="1:7" ht="15.75">
      <c r="A130" s="324"/>
      <c r="B130" s="187"/>
      <c r="C130" s="58"/>
      <c r="D130" s="318"/>
      <c r="E130" s="319"/>
      <c r="F130" s="320"/>
      <c r="G130" s="332"/>
    </row>
    <row r="131" spans="1:7" ht="15.75">
      <c r="A131" s="324"/>
      <c r="B131" s="187"/>
      <c r="C131" s="58"/>
      <c r="D131" s="318"/>
      <c r="E131" s="319"/>
      <c r="F131" s="320"/>
      <c r="G131" s="332"/>
    </row>
    <row r="132" spans="1:7" ht="15.75">
      <c r="A132" s="324"/>
      <c r="B132" s="187"/>
      <c r="C132" s="58"/>
      <c r="D132" s="318"/>
      <c r="E132" s="319"/>
      <c r="F132" s="320"/>
      <c r="G132" s="332"/>
    </row>
    <row r="133" spans="1:7" ht="15.75">
      <c r="A133" s="324"/>
      <c r="B133" s="187"/>
      <c r="C133" s="58"/>
      <c r="D133" s="318"/>
      <c r="E133" s="319"/>
      <c r="F133" s="320"/>
      <c r="G133" s="332"/>
    </row>
    <row r="134" spans="1:7" ht="15.75">
      <c r="A134" s="324"/>
      <c r="B134" s="187"/>
      <c r="C134" s="58"/>
      <c r="D134" s="318"/>
      <c r="E134" s="319"/>
      <c r="F134" s="320"/>
      <c r="G134" s="332"/>
    </row>
    <row r="135" spans="1:7" ht="15.75">
      <c r="A135" s="324"/>
      <c r="B135" s="187"/>
      <c r="C135" s="58"/>
      <c r="D135" s="318"/>
      <c r="E135" s="319"/>
      <c r="F135" s="320"/>
      <c r="G135" s="332"/>
    </row>
    <row r="136" spans="1:7" ht="15.75">
      <c r="A136" s="324"/>
      <c r="B136" s="187"/>
      <c r="C136" s="58"/>
      <c r="D136" s="318"/>
      <c r="E136" s="319"/>
      <c r="F136" s="320"/>
      <c r="G136" s="332"/>
    </row>
    <row r="137" spans="1:7" ht="15.75">
      <c r="A137" s="324"/>
      <c r="B137" s="187"/>
      <c r="C137" s="58"/>
      <c r="D137" s="318"/>
      <c r="E137" s="319"/>
      <c r="F137" s="320"/>
      <c r="G137" s="332"/>
    </row>
    <row r="138" spans="1:7" ht="15.75">
      <c r="A138" s="324"/>
      <c r="B138" s="187"/>
      <c r="C138" s="58"/>
      <c r="D138" s="318"/>
      <c r="E138" s="319"/>
      <c r="F138" s="320"/>
      <c r="G138" s="332"/>
    </row>
    <row r="139" spans="1:7" ht="15.75">
      <c r="A139" s="324"/>
      <c r="B139" s="187"/>
      <c r="C139" s="58"/>
      <c r="D139" s="318"/>
      <c r="E139" s="319"/>
      <c r="F139" s="320"/>
      <c r="G139" s="332"/>
    </row>
    <row r="140" spans="1:7" ht="15.75">
      <c r="A140" s="324"/>
      <c r="B140" s="187"/>
      <c r="C140" s="58"/>
      <c r="D140" s="318"/>
      <c r="E140" s="319"/>
      <c r="F140" s="320"/>
      <c r="G140" s="332"/>
    </row>
    <row r="141" spans="1:7" ht="15.75">
      <c r="A141" s="324"/>
      <c r="B141" s="187"/>
      <c r="C141" s="58"/>
      <c r="D141" s="318"/>
      <c r="E141" s="319"/>
      <c r="F141" s="320"/>
      <c r="G141" s="332"/>
    </row>
    <row r="142" spans="1:7" ht="15.75">
      <c r="A142" s="324"/>
      <c r="B142" s="187"/>
      <c r="C142" s="58"/>
      <c r="D142" s="318"/>
      <c r="E142" s="319"/>
      <c r="F142" s="320"/>
      <c r="G142" s="332"/>
    </row>
    <row r="143" spans="1:7" ht="15.75">
      <c r="A143" s="324"/>
      <c r="B143" s="187"/>
      <c r="C143" s="58"/>
      <c r="D143" s="318"/>
      <c r="E143" s="319"/>
      <c r="F143" s="320"/>
      <c r="G143" s="332"/>
    </row>
    <row r="144" spans="1:7" ht="15.75">
      <c r="A144" s="324"/>
      <c r="B144" s="187"/>
      <c r="C144" s="58"/>
      <c r="D144" s="318"/>
      <c r="E144" s="319"/>
      <c r="F144" s="320"/>
      <c r="G144" s="332"/>
    </row>
    <row r="145" spans="1:7" ht="15.75">
      <c r="A145" s="324"/>
      <c r="B145" s="187"/>
      <c r="C145" s="58"/>
      <c r="D145" s="318"/>
      <c r="E145" s="319"/>
      <c r="F145" s="320"/>
      <c r="G145" s="332"/>
    </row>
    <row r="146" spans="1:7" ht="15.75">
      <c r="A146" s="324"/>
      <c r="B146" s="187"/>
      <c r="C146" s="58"/>
      <c r="D146" s="318"/>
      <c r="E146" s="319"/>
      <c r="F146" s="320"/>
      <c r="G146" s="332"/>
    </row>
    <row r="147" spans="1:7" ht="15.75">
      <c r="A147" s="324"/>
      <c r="B147" s="187"/>
      <c r="C147" s="58"/>
      <c r="D147" s="318"/>
      <c r="E147" s="319"/>
      <c r="F147" s="320"/>
      <c r="G147" s="332"/>
    </row>
    <row r="148" spans="1:7" ht="15.75">
      <c r="A148" s="324"/>
      <c r="B148" s="187"/>
      <c r="C148" s="58"/>
      <c r="D148" s="318"/>
      <c r="E148" s="319"/>
      <c r="F148" s="320"/>
      <c r="G148" s="332"/>
    </row>
    <row r="149" spans="1:7" ht="15.75">
      <c r="A149" s="324"/>
      <c r="B149" s="187"/>
      <c r="C149" s="58"/>
      <c r="D149" s="318"/>
      <c r="E149" s="319"/>
      <c r="F149" s="320"/>
      <c r="G149" s="332"/>
    </row>
    <row r="150" spans="1:7" ht="15.75">
      <c r="A150" s="324"/>
      <c r="B150" s="187"/>
      <c r="C150" s="58"/>
      <c r="D150" s="318"/>
      <c r="E150" s="319"/>
      <c r="F150" s="320"/>
      <c r="G150" s="332"/>
    </row>
    <row r="151" spans="1:7" ht="15.75">
      <c r="A151" s="324"/>
      <c r="B151" s="187"/>
      <c r="C151" s="58"/>
      <c r="D151" s="318"/>
      <c r="E151" s="319"/>
      <c r="F151" s="320"/>
      <c r="G151" s="332"/>
    </row>
    <row r="152" spans="1:7" ht="15.75">
      <c r="A152" s="324"/>
      <c r="B152" s="187"/>
      <c r="C152" s="58"/>
      <c r="D152" s="318"/>
      <c r="E152" s="319"/>
      <c r="F152" s="320"/>
      <c r="G152" s="332"/>
    </row>
    <row r="153" spans="1:7" ht="15.75">
      <c r="A153" s="324"/>
      <c r="B153" s="187"/>
      <c r="C153" s="58"/>
      <c r="D153" s="318"/>
      <c r="E153" s="319"/>
      <c r="F153" s="320"/>
      <c r="G153" s="332"/>
    </row>
    <row r="154" spans="1:7" ht="15.75">
      <c r="A154" s="324"/>
      <c r="B154" s="187"/>
      <c r="C154" s="58"/>
      <c r="D154" s="318"/>
      <c r="E154" s="319"/>
      <c r="F154" s="320"/>
      <c r="G154" s="332"/>
    </row>
    <row r="155" spans="1:7" ht="15.75">
      <c r="A155" s="324"/>
      <c r="B155" s="187"/>
      <c r="C155" s="58"/>
      <c r="D155" s="318"/>
      <c r="E155" s="319"/>
      <c r="F155" s="320"/>
      <c r="G155" s="332"/>
    </row>
    <row r="156" spans="1:7" ht="15.75">
      <c r="A156" s="324"/>
      <c r="B156" s="187"/>
      <c r="C156" s="58"/>
      <c r="D156" s="318"/>
      <c r="E156" s="319"/>
      <c r="F156" s="320"/>
      <c r="G156" s="332"/>
    </row>
    <row r="157" spans="1:7" ht="15.75">
      <c r="A157" s="324"/>
      <c r="B157" s="187"/>
      <c r="C157" s="58"/>
      <c r="D157" s="318"/>
      <c r="E157" s="319"/>
      <c r="F157" s="320"/>
      <c r="G157" s="332"/>
    </row>
    <row r="158" spans="1:7" ht="15.75">
      <c r="A158" s="324"/>
      <c r="B158" s="187"/>
      <c r="C158" s="58"/>
      <c r="D158" s="318"/>
      <c r="E158" s="319"/>
      <c r="F158" s="320"/>
      <c r="G158" s="332"/>
    </row>
    <row r="159" spans="1:7" ht="15.75">
      <c r="A159" s="324"/>
      <c r="B159" s="187"/>
      <c r="C159" s="58"/>
      <c r="D159" s="318"/>
      <c r="E159" s="319"/>
      <c r="F159" s="320"/>
      <c r="G159" s="332"/>
    </row>
    <row r="160" spans="1:7" ht="15.75">
      <c r="A160" s="324"/>
      <c r="B160" s="187"/>
      <c r="C160" s="58"/>
      <c r="D160" s="318"/>
      <c r="E160" s="319"/>
      <c r="F160" s="320"/>
      <c r="G160" s="332"/>
    </row>
    <row r="161" spans="1:7" ht="15.75">
      <c r="A161" s="324"/>
      <c r="B161" s="187"/>
      <c r="C161" s="58"/>
      <c r="D161" s="318"/>
      <c r="E161" s="319"/>
      <c r="F161" s="320"/>
      <c r="G161" s="332"/>
    </row>
    <row r="162" spans="1:7" ht="15.75">
      <c r="A162" s="324"/>
      <c r="B162" s="187"/>
      <c r="C162" s="58"/>
      <c r="D162" s="318"/>
      <c r="E162" s="319"/>
      <c r="F162" s="320"/>
      <c r="G162" s="332"/>
    </row>
    <row r="163" spans="1:7" ht="15.75">
      <c r="A163" s="324"/>
      <c r="B163" s="187"/>
      <c r="C163" s="58"/>
      <c r="D163" s="318"/>
      <c r="E163" s="319"/>
      <c r="F163" s="320"/>
      <c r="G163" s="332"/>
    </row>
    <row r="164" spans="1:7" ht="15.75">
      <c r="A164" s="324"/>
      <c r="B164" s="187"/>
      <c r="C164" s="58"/>
      <c r="D164" s="318"/>
      <c r="E164" s="319"/>
      <c r="F164" s="320"/>
      <c r="G164" s="332"/>
    </row>
    <row r="165" spans="1:7" ht="15.75">
      <c r="A165" s="324"/>
      <c r="B165" s="187"/>
      <c r="C165" s="58"/>
      <c r="D165" s="318"/>
      <c r="E165" s="319"/>
      <c r="F165" s="320"/>
      <c r="G165" s="332"/>
    </row>
    <row r="166" spans="1:7" ht="15.75">
      <c r="A166" s="324"/>
      <c r="B166" s="187"/>
      <c r="C166" s="58"/>
      <c r="D166" s="318"/>
      <c r="E166" s="319"/>
      <c r="F166" s="320"/>
      <c r="G166" s="332"/>
    </row>
    <row r="167" spans="1:7" ht="15.75">
      <c r="A167" s="324"/>
      <c r="B167" s="187"/>
      <c r="C167" s="58"/>
      <c r="D167" s="318"/>
      <c r="E167" s="319"/>
      <c r="F167" s="320"/>
      <c r="G167" s="332"/>
    </row>
    <row r="168" spans="1:7" ht="15.75">
      <c r="A168" s="324"/>
      <c r="B168" s="187"/>
      <c r="C168" s="58"/>
      <c r="D168" s="318"/>
      <c r="E168" s="319"/>
      <c r="F168" s="320"/>
      <c r="G168" s="332"/>
    </row>
    <row r="169" spans="1:7" ht="15.75">
      <c r="A169" s="324"/>
      <c r="B169" s="187"/>
      <c r="C169" s="58"/>
      <c r="D169" s="318"/>
      <c r="E169" s="319"/>
      <c r="F169" s="320"/>
      <c r="G169" s="332"/>
    </row>
    <row r="170" spans="1:7" ht="15.75">
      <c r="A170" s="324"/>
      <c r="B170" s="187"/>
      <c r="C170" s="58"/>
      <c r="D170" s="318"/>
      <c r="E170" s="319"/>
      <c r="F170" s="320"/>
      <c r="G170" s="332"/>
    </row>
    <row r="171" spans="1:7" ht="15.75">
      <c r="A171" s="324"/>
      <c r="B171" s="187"/>
      <c r="C171" s="58"/>
      <c r="D171" s="318"/>
      <c r="E171" s="319"/>
      <c r="F171" s="320"/>
      <c r="G171" s="332"/>
    </row>
    <row r="172" spans="1:7" ht="15.75">
      <c r="A172" s="324"/>
      <c r="B172" s="187"/>
      <c r="C172" s="58"/>
      <c r="D172" s="318"/>
      <c r="E172" s="319"/>
      <c r="F172" s="320"/>
      <c r="G172" s="332"/>
    </row>
    <row r="173" spans="1:7" ht="15.75">
      <c r="A173" s="324"/>
      <c r="B173" s="187"/>
      <c r="C173" s="58"/>
      <c r="D173" s="318"/>
      <c r="E173" s="319"/>
      <c r="F173" s="320"/>
      <c r="G173" s="332"/>
    </row>
    <row r="174" spans="1:7" ht="15.75">
      <c r="A174" s="324"/>
      <c r="B174" s="187"/>
      <c r="C174" s="58"/>
      <c r="D174" s="318"/>
      <c r="E174" s="319"/>
      <c r="F174" s="320"/>
      <c r="G174" s="332"/>
    </row>
    <row r="175" spans="1:7" ht="15.75">
      <c r="A175" s="324"/>
      <c r="B175" s="187"/>
      <c r="C175" s="58"/>
      <c r="D175" s="318"/>
      <c r="E175" s="319"/>
      <c r="F175" s="320"/>
      <c r="G175" s="332"/>
    </row>
    <row r="176" spans="1:7" ht="15.75">
      <c r="A176" s="324"/>
      <c r="B176" s="187"/>
      <c r="C176" s="58"/>
      <c r="D176" s="318"/>
      <c r="E176" s="319"/>
      <c r="F176" s="320"/>
      <c r="G176" s="332"/>
    </row>
    <row r="177" spans="1:7" ht="15.75">
      <c r="A177" s="324"/>
      <c r="B177" s="187"/>
      <c r="C177" s="58"/>
      <c r="D177" s="318"/>
      <c r="E177" s="319"/>
      <c r="F177" s="320"/>
      <c r="G177" s="332"/>
    </row>
    <row r="178" spans="1:7" ht="15.75">
      <c r="A178" s="324"/>
      <c r="B178" s="187"/>
      <c r="C178" s="58"/>
      <c r="D178" s="318"/>
      <c r="E178" s="319"/>
      <c r="F178" s="320"/>
      <c r="G178" s="332"/>
    </row>
    <row r="179" spans="1:7" ht="15.75">
      <c r="A179" s="324"/>
      <c r="B179" s="187"/>
      <c r="C179" s="58"/>
      <c r="D179" s="318"/>
      <c r="E179" s="319"/>
      <c r="F179" s="320"/>
      <c r="G179" s="332"/>
    </row>
    <row r="180" spans="1:7" ht="15.75">
      <c r="A180" s="324"/>
      <c r="B180" s="187"/>
      <c r="C180" s="58"/>
      <c r="D180" s="318"/>
      <c r="E180" s="319"/>
      <c r="F180" s="320"/>
      <c r="G180" s="332"/>
    </row>
    <row r="181" spans="1:7" ht="15.75">
      <c r="A181" s="324"/>
      <c r="B181" s="187"/>
      <c r="C181" s="58"/>
      <c r="D181" s="318"/>
      <c r="E181" s="319"/>
      <c r="F181" s="320"/>
      <c r="G181" s="332"/>
    </row>
    <row r="182" spans="1:7" ht="15.75">
      <c r="A182" s="324"/>
      <c r="B182" s="187"/>
      <c r="C182" s="58"/>
      <c r="D182" s="318"/>
      <c r="E182" s="319"/>
      <c r="F182" s="320"/>
      <c r="G182" s="332"/>
    </row>
    <row r="183" spans="1:7" ht="15.75">
      <c r="A183" s="324"/>
      <c r="B183" s="187"/>
      <c r="C183" s="58"/>
      <c r="D183" s="318"/>
      <c r="E183" s="319"/>
      <c r="F183" s="320"/>
      <c r="G183" s="332"/>
    </row>
    <row r="184" spans="1:7" ht="15.75">
      <c r="A184" s="324"/>
      <c r="B184" s="187"/>
      <c r="C184" s="58"/>
      <c r="D184" s="318"/>
      <c r="E184" s="319"/>
      <c r="F184" s="320"/>
      <c r="G184" s="332"/>
    </row>
    <row r="185" spans="1:7" ht="15.75">
      <c r="A185" s="324"/>
      <c r="B185" s="187"/>
      <c r="C185" s="58"/>
      <c r="D185" s="318"/>
      <c r="E185" s="319"/>
      <c r="F185" s="320"/>
      <c r="G185" s="332"/>
    </row>
    <row r="186" spans="1:7" ht="15.75">
      <c r="A186" s="324"/>
      <c r="B186" s="187"/>
      <c r="C186" s="58"/>
      <c r="D186" s="318"/>
      <c r="E186" s="319"/>
      <c r="F186" s="320"/>
      <c r="G186" s="332"/>
    </row>
    <row r="187" spans="1:7" ht="15.75">
      <c r="A187" s="324"/>
      <c r="B187" s="187"/>
      <c r="C187" s="58"/>
      <c r="D187" s="318"/>
      <c r="E187" s="319"/>
      <c r="F187" s="320"/>
      <c r="G187" s="332"/>
    </row>
    <row r="188" spans="1:7" ht="15.75">
      <c r="A188" s="324"/>
      <c r="B188" s="187"/>
      <c r="C188" s="58"/>
      <c r="D188" s="318"/>
      <c r="E188" s="319"/>
      <c r="F188" s="320"/>
      <c r="G188" s="332"/>
    </row>
    <row r="189" spans="1:7" ht="15.75">
      <c r="A189" s="324"/>
      <c r="B189" s="187"/>
      <c r="C189" s="58"/>
      <c r="D189" s="318"/>
      <c r="E189" s="319"/>
      <c r="F189" s="320"/>
      <c r="G189" s="332"/>
    </row>
    <row r="190" spans="1:7" ht="15.75">
      <c r="A190" s="324"/>
      <c r="B190" s="187"/>
      <c r="C190" s="58"/>
      <c r="D190" s="318"/>
      <c r="E190" s="319"/>
      <c r="F190" s="320"/>
      <c r="G190" s="332"/>
    </row>
    <row r="191" spans="1:7" ht="15.75">
      <c r="A191" s="324"/>
      <c r="B191" s="187"/>
      <c r="C191" s="58"/>
      <c r="D191" s="318"/>
      <c r="E191" s="319"/>
      <c r="F191" s="320"/>
      <c r="G191" s="332"/>
    </row>
    <row r="192" spans="1:7" ht="15.75">
      <c r="A192" s="324"/>
      <c r="B192" s="187"/>
      <c r="C192" s="58"/>
      <c r="D192" s="318"/>
      <c r="E192" s="319"/>
      <c r="F192" s="320"/>
      <c r="G192" s="332"/>
    </row>
    <row r="193" spans="1:7" ht="15.75">
      <c r="A193" s="324"/>
      <c r="B193" s="187"/>
      <c r="C193" s="58"/>
      <c r="D193" s="318"/>
      <c r="E193" s="319"/>
      <c r="F193" s="320"/>
      <c r="G193" s="332"/>
    </row>
    <row r="194" spans="1:7" ht="15.75">
      <c r="A194" s="324"/>
      <c r="B194" s="187"/>
      <c r="C194" s="58"/>
      <c r="D194" s="318"/>
      <c r="E194" s="319"/>
      <c r="F194" s="320"/>
      <c r="G194" s="332"/>
    </row>
    <row r="195" spans="1:7" ht="15.75">
      <c r="A195" s="324"/>
      <c r="B195" s="187"/>
      <c r="C195" s="58"/>
      <c r="D195" s="318"/>
      <c r="E195" s="319"/>
      <c r="F195" s="320"/>
      <c r="G195" s="332"/>
    </row>
    <row r="196" spans="1:7" ht="15.75">
      <c r="A196" s="324"/>
      <c r="B196" s="187"/>
      <c r="C196" s="58"/>
      <c r="D196" s="318"/>
      <c r="E196" s="319"/>
      <c r="F196" s="320"/>
      <c r="G196" s="332"/>
    </row>
    <row r="197" spans="1:7" ht="15.75">
      <c r="A197" s="324"/>
      <c r="B197" s="187"/>
      <c r="C197" s="58"/>
      <c r="D197" s="318"/>
      <c r="E197" s="319"/>
      <c r="F197" s="320"/>
      <c r="G197" s="332"/>
    </row>
    <row r="198" spans="1:7" ht="15.75">
      <c r="A198" s="324"/>
      <c r="B198" s="187"/>
      <c r="C198" s="58"/>
      <c r="D198" s="318"/>
      <c r="E198" s="319"/>
      <c r="F198" s="320"/>
      <c r="G198" s="332"/>
    </row>
    <row r="199" spans="1:7" ht="15.75">
      <c r="A199" s="324"/>
      <c r="B199" s="187"/>
      <c r="C199" s="58"/>
      <c r="D199" s="318"/>
      <c r="E199" s="319"/>
      <c r="F199" s="320"/>
      <c r="G199" s="332"/>
    </row>
    <row r="200" spans="1:7" ht="15.75">
      <c r="A200" s="324"/>
      <c r="B200" s="187"/>
      <c r="C200" s="58"/>
      <c r="D200" s="318"/>
      <c r="E200" s="319"/>
      <c r="F200" s="320"/>
      <c r="G200" s="332"/>
    </row>
    <row r="201" spans="1:7" ht="15.75">
      <c r="A201" s="324"/>
      <c r="B201" s="187"/>
      <c r="C201" s="58"/>
      <c r="D201" s="318"/>
      <c r="E201" s="319"/>
      <c r="F201" s="320"/>
      <c r="G201" s="332"/>
    </row>
    <row r="202" spans="1:7" ht="15.75">
      <c r="A202" s="324"/>
      <c r="B202" s="187"/>
      <c r="C202" s="58"/>
      <c r="D202" s="318"/>
      <c r="E202" s="319"/>
      <c r="F202" s="320"/>
      <c r="G202" s="332"/>
    </row>
    <row r="203" spans="1:7" ht="15.75">
      <c r="A203" s="324"/>
      <c r="B203" s="187"/>
      <c r="C203" s="58"/>
      <c r="D203" s="318"/>
      <c r="E203" s="319"/>
      <c r="F203" s="320"/>
      <c r="G203" s="332"/>
    </row>
    <row r="204" spans="1:7" ht="15.75">
      <c r="A204" s="324"/>
      <c r="B204" s="187"/>
      <c r="C204" s="58"/>
      <c r="D204" s="318"/>
      <c r="E204" s="319"/>
      <c r="F204" s="320"/>
      <c r="G204" s="332"/>
    </row>
    <row r="205" spans="1:7" ht="15.75">
      <c r="A205" s="324"/>
      <c r="B205" s="187"/>
      <c r="C205" s="58"/>
      <c r="D205" s="318"/>
      <c r="E205" s="319"/>
      <c r="F205" s="320"/>
      <c r="G205" s="332"/>
    </row>
    <row r="206" spans="1:7" ht="15.75">
      <c r="A206" s="324"/>
      <c r="B206" s="187"/>
      <c r="C206" s="58"/>
      <c r="D206" s="318"/>
      <c r="E206" s="319"/>
      <c r="F206" s="320"/>
      <c r="G206" s="332"/>
    </row>
    <row r="207" spans="1:7" ht="15.75">
      <c r="A207" s="324"/>
      <c r="B207" s="187"/>
      <c r="C207" s="58"/>
      <c r="D207" s="318"/>
      <c r="E207" s="319"/>
      <c r="F207" s="320"/>
      <c r="G207" s="332"/>
    </row>
    <row r="208" spans="1:7" ht="15.75">
      <c r="A208" s="324"/>
      <c r="B208" s="187"/>
      <c r="C208" s="58"/>
      <c r="D208" s="318"/>
      <c r="E208" s="319"/>
      <c r="F208" s="320"/>
      <c r="G208" s="332"/>
    </row>
    <row r="209" spans="1:7" ht="15.75">
      <c r="A209" s="324"/>
      <c r="B209" s="187"/>
      <c r="C209" s="58"/>
      <c r="D209" s="318"/>
      <c r="E209" s="319"/>
      <c r="F209" s="320"/>
      <c r="G209" s="332"/>
    </row>
    <row r="210" spans="1:7" ht="15.75">
      <c r="A210" s="324"/>
      <c r="B210" s="187"/>
      <c r="C210" s="58"/>
      <c r="D210" s="318"/>
      <c r="E210" s="319"/>
      <c r="F210" s="320"/>
      <c r="G210" s="332"/>
    </row>
    <row r="211" spans="1:7" ht="15.75">
      <c r="A211" s="324"/>
      <c r="B211" s="187"/>
      <c r="C211" s="58"/>
      <c r="D211" s="318"/>
      <c r="E211" s="319"/>
      <c r="F211" s="320"/>
      <c r="G211" s="332"/>
    </row>
    <row r="212" spans="1:7" ht="15.75">
      <c r="A212" s="324"/>
      <c r="B212" s="187"/>
      <c r="C212" s="58"/>
      <c r="D212" s="318"/>
      <c r="E212" s="319"/>
      <c r="F212" s="320"/>
      <c r="G212" s="332"/>
    </row>
    <row r="213" spans="1:7" ht="15.75">
      <c r="A213" s="324"/>
      <c r="B213" s="187"/>
      <c r="C213" s="58"/>
      <c r="D213" s="318"/>
      <c r="E213" s="319"/>
      <c r="F213" s="320"/>
      <c r="G213" s="332"/>
    </row>
    <row r="214" spans="1:7" ht="15.75">
      <c r="A214" s="324"/>
      <c r="B214" s="187"/>
      <c r="C214" s="58"/>
      <c r="D214" s="318"/>
      <c r="E214" s="319"/>
      <c r="F214" s="320"/>
      <c r="G214" s="332"/>
    </row>
    <row r="215" spans="1:7" ht="15.75">
      <c r="A215" s="324"/>
      <c r="B215" s="187"/>
      <c r="C215" s="58"/>
      <c r="D215" s="318"/>
      <c r="E215" s="319"/>
      <c r="F215" s="320"/>
      <c r="G215" s="332"/>
    </row>
    <row r="216" spans="1:7" ht="15.75">
      <c r="A216" s="324"/>
      <c r="B216" s="187"/>
      <c r="C216" s="58"/>
      <c r="D216" s="318"/>
      <c r="E216" s="319"/>
      <c r="F216" s="320"/>
      <c r="G216" s="332"/>
    </row>
    <row r="217" spans="1:7" ht="15.75">
      <c r="A217" s="324"/>
      <c r="B217" s="187"/>
      <c r="C217" s="58"/>
      <c r="D217" s="318"/>
      <c r="E217" s="319"/>
      <c r="F217" s="320"/>
      <c r="G217" s="332"/>
    </row>
    <row r="218" spans="1:7" ht="15.75">
      <c r="A218" s="324"/>
      <c r="B218" s="187"/>
      <c r="C218" s="58"/>
      <c r="D218" s="318"/>
      <c r="E218" s="319"/>
      <c r="F218" s="320"/>
      <c r="G218" s="332"/>
    </row>
    <row r="219" spans="1:7" ht="15.75">
      <c r="A219" s="324"/>
      <c r="B219" s="187"/>
      <c r="C219" s="58"/>
      <c r="D219" s="318"/>
      <c r="E219" s="319"/>
      <c r="F219" s="320"/>
      <c r="G219" s="332"/>
    </row>
    <row r="220" spans="1:7" ht="15.75">
      <c r="A220" s="324"/>
      <c r="B220" s="187"/>
      <c r="C220" s="58"/>
      <c r="D220" s="318"/>
      <c r="E220" s="319"/>
      <c r="F220" s="320"/>
      <c r="G220" s="332"/>
    </row>
    <row r="221" spans="1:7" ht="15.75">
      <c r="A221" s="324"/>
      <c r="B221" s="187"/>
      <c r="C221" s="58"/>
      <c r="D221" s="318"/>
      <c r="E221" s="319"/>
      <c r="F221" s="320"/>
      <c r="G221" s="332"/>
    </row>
    <row r="222" spans="1:7" ht="15.75">
      <c r="A222" s="324"/>
      <c r="B222" s="187"/>
      <c r="C222" s="58"/>
      <c r="D222" s="318"/>
      <c r="E222" s="319"/>
      <c r="F222" s="320"/>
      <c r="G222" s="332"/>
    </row>
    <row r="223" spans="1:7" ht="15.75">
      <c r="A223" s="324"/>
      <c r="B223" s="187"/>
      <c r="C223" s="58"/>
      <c r="D223" s="318"/>
      <c r="E223" s="319"/>
      <c r="F223" s="320"/>
      <c r="G223" s="332"/>
    </row>
    <row r="224" spans="1:7" ht="15.75">
      <c r="A224" s="324"/>
      <c r="B224" s="187"/>
      <c r="C224" s="58"/>
      <c r="D224" s="318"/>
      <c r="E224" s="319"/>
      <c r="F224" s="320"/>
      <c r="G224" s="332"/>
    </row>
    <row r="225" spans="1:7" ht="15.75">
      <c r="A225" s="324"/>
      <c r="B225" s="187"/>
      <c r="C225" s="58"/>
      <c r="D225" s="318"/>
      <c r="E225" s="319"/>
      <c r="F225" s="320"/>
      <c r="G225" s="332"/>
    </row>
    <row r="226" spans="1:7" ht="15.75">
      <c r="A226" s="324"/>
      <c r="B226" s="187"/>
      <c r="C226" s="58"/>
      <c r="D226" s="318"/>
      <c r="E226" s="319"/>
      <c r="F226" s="320"/>
      <c r="G226" s="332"/>
    </row>
    <row r="227" spans="1:7" ht="15.75">
      <c r="A227" s="324"/>
      <c r="B227" s="187"/>
      <c r="C227" s="58"/>
      <c r="D227" s="318"/>
      <c r="E227" s="319"/>
      <c r="F227" s="320"/>
      <c r="G227" s="332"/>
    </row>
    <row r="228" spans="1:7" ht="15.75">
      <c r="A228" s="324"/>
      <c r="B228" s="187"/>
      <c r="C228" s="58"/>
      <c r="D228" s="318"/>
      <c r="E228" s="319"/>
      <c r="F228" s="320"/>
      <c r="G228" s="332"/>
    </row>
    <row r="229" spans="1:7" ht="15.75">
      <c r="A229" s="324"/>
      <c r="B229" s="187"/>
      <c r="C229" s="58"/>
      <c r="D229" s="318"/>
      <c r="E229" s="319"/>
      <c r="F229" s="320"/>
      <c r="G229" s="332"/>
    </row>
    <row r="230" spans="1:7" ht="15.75">
      <c r="A230" s="324"/>
      <c r="B230" s="187"/>
      <c r="C230" s="58"/>
      <c r="D230" s="318"/>
      <c r="E230" s="319"/>
      <c r="F230" s="320"/>
      <c r="G230" s="332"/>
    </row>
    <row r="231" spans="1:7" ht="15.75">
      <c r="A231" s="324"/>
      <c r="B231" s="187"/>
      <c r="C231" s="58"/>
      <c r="D231" s="318"/>
      <c r="E231" s="319"/>
      <c r="F231" s="320"/>
      <c r="G231" s="332"/>
    </row>
    <row r="232" spans="1:7" ht="15.75">
      <c r="A232" s="324"/>
      <c r="B232" s="187"/>
      <c r="C232" s="58"/>
      <c r="D232" s="318"/>
      <c r="E232" s="319"/>
      <c r="F232" s="320"/>
      <c r="G232" s="332"/>
    </row>
    <row r="233" spans="1:7" ht="15.75">
      <c r="A233" s="324"/>
      <c r="B233" s="187"/>
      <c r="C233" s="58"/>
      <c r="D233" s="318"/>
      <c r="E233" s="319"/>
      <c r="F233" s="320"/>
      <c r="G233" s="332"/>
    </row>
    <row r="234" spans="1:7" ht="15.75">
      <c r="A234" s="324"/>
      <c r="B234" s="187"/>
      <c r="C234" s="58"/>
      <c r="D234" s="318"/>
      <c r="E234" s="319"/>
      <c r="F234" s="320"/>
      <c r="G234" s="332"/>
    </row>
    <row r="235" spans="1:7" ht="15.75">
      <c r="A235" s="324"/>
      <c r="B235" s="187"/>
      <c r="C235" s="58"/>
      <c r="D235" s="318"/>
      <c r="E235" s="319"/>
      <c r="F235" s="320"/>
      <c r="G235" s="332"/>
    </row>
    <row r="236" spans="1:7" ht="15.75">
      <c r="A236" s="324"/>
      <c r="B236" s="187"/>
      <c r="C236" s="58"/>
      <c r="D236" s="318"/>
      <c r="E236" s="319"/>
      <c r="F236" s="320"/>
      <c r="G236" s="332"/>
    </row>
    <row r="237" spans="1:7" ht="15.75">
      <c r="A237" s="324"/>
      <c r="B237" s="187"/>
      <c r="C237" s="58"/>
      <c r="D237" s="318"/>
      <c r="E237" s="319"/>
      <c r="F237" s="320"/>
      <c r="G237" s="332"/>
    </row>
    <row r="238" spans="1:7" ht="15.75">
      <c r="A238" s="324"/>
      <c r="B238" s="187"/>
      <c r="C238" s="58"/>
      <c r="D238" s="318"/>
      <c r="E238" s="319"/>
      <c r="F238" s="320"/>
      <c r="G238" s="332"/>
    </row>
    <row r="239" spans="1:7" ht="15.75">
      <c r="A239" s="324"/>
      <c r="B239" s="187"/>
      <c r="C239" s="58"/>
      <c r="D239" s="318"/>
      <c r="E239" s="319"/>
      <c r="F239" s="320"/>
      <c r="G239" s="332"/>
    </row>
    <row r="240" spans="1:7" ht="15.75">
      <c r="A240" s="324"/>
      <c r="B240" s="187"/>
      <c r="C240" s="58"/>
      <c r="D240" s="318"/>
      <c r="E240" s="319"/>
      <c r="F240" s="320"/>
      <c r="G240" s="332"/>
    </row>
    <row r="241" spans="1:7" ht="15.75">
      <c r="A241" s="324"/>
      <c r="B241" s="187"/>
      <c r="C241" s="58"/>
      <c r="D241" s="318"/>
      <c r="E241" s="319"/>
      <c r="F241" s="320"/>
      <c r="G241" s="332"/>
    </row>
    <row r="242" spans="1:7" ht="15.75">
      <c r="A242" s="324"/>
      <c r="B242" s="187"/>
      <c r="C242" s="58"/>
      <c r="D242" s="318"/>
      <c r="E242" s="319"/>
      <c r="F242" s="320"/>
      <c r="G242" s="332"/>
    </row>
    <row r="243" spans="1:7" ht="15.75">
      <c r="A243" s="324"/>
      <c r="B243" s="187"/>
      <c r="C243" s="58"/>
      <c r="D243" s="318"/>
      <c r="E243" s="319"/>
      <c r="F243" s="320"/>
      <c r="G243" s="332"/>
    </row>
    <row r="244" spans="1:7" ht="15.75">
      <c r="A244" s="324"/>
      <c r="B244" s="187"/>
      <c r="C244" s="58"/>
      <c r="D244" s="318"/>
      <c r="E244" s="319"/>
      <c r="F244" s="320"/>
      <c r="G244" s="332"/>
    </row>
    <row r="245" spans="1:7" ht="15.75">
      <c r="A245" s="324"/>
      <c r="B245" s="187"/>
      <c r="C245" s="58"/>
      <c r="D245" s="318"/>
      <c r="E245" s="319"/>
      <c r="F245" s="320"/>
      <c r="G245" s="332"/>
    </row>
    <row r="246" spans="1:7" ht="15.75">
      <c r="A246" s="324"/>
      <c r="B246" s="187"/>
      <c r="C246" s="58"/>
      <c r="D246" s="318"/>
      <c r="E246" s="319"/>
      <c r="F246" s="320"/>
      <c r="G246" s="332"/>
    </row>
    <row r="247" spans="1:7" ht="15.75">
      <c r="A247" s="324"/>
      <c r="B247" s="187"/>
      <c r="C247" s="58"/>
      <c r="D247" s="318"/>
      <c r="E247" s="319"/>
      <c r="F247" s="320"/>
      <c r="G247" s="332"/>
    </row>
    <row r="248" spans="1:7" ht="15.75">
      <c r="A248" s="324"/>
      <c r="B248" s="187"/>
      <c r="C248" s="58"/>
      <c r="D248" s="318"/>
      <c r="E248" s="319"/>
      <c r="F248" s="320"/>
      <c r="G248" s="332"/>
    </row>
    <row r="249" spans="1:7" ht="15.75">
      <c r="A249" s="324"/>
      <c r="B249" s="187"/>
      <c r="C249" s="58"/>
      <c r="D249" s="318"/>
      <c r="E249" s="319"/>
      <c r="F249" s="320"/>
      <c r="G249" s="332"/>
    </row>
    <row r="250" spans="1:7" ht="15.75">
      <c r="A250" s="324"/>
      <c r="B250" s="187"/>
      <c r="C250" s="58"/>
      <c r="D250" s="318"/>
      <c r="E250" s="319"/>
      <c r="F250" s="320"/>
      <c r="G250" s="332"/>
    </row>
    <row r="251" spans="1:7" ht="15.75">
      <c r="A251" s="324"/>
      <c r="B251" s="187"/>
      <c r="C251" s="58"/>
      <c r="D251" s="318"/>
      <c r="E251" s="319"/>
      <c r="F251" s="320"/>
      <c r="G251" s="332"/>
    </row>
    <row r="252" spans="1:7" ht="15.75">
      <c r="A252" s="324"/>
      <c r="B252" s="187"/>
      <c r="C252" s="58"/>
      <c r="D252" s="318"/>
      <c r="E252" s="319"/>
      <c r="F252" s="320"/>
      <c r="G252" s="332"/>
    </row>
    <row r="253" spans="1:7" ht="15.75">
      <c r="A253" s="324"/>
      <c r="B253" s="187"/>
      <c r="C253" s="58"/>
      <c r="D253" s="318"/>
      <c r="E253" s="319"/>
      <c r="F253" s="320"/>
      <c r="G253" s="332"/>
    </row>
    <row r="254" spans="1:7" ht="15.75">
      <c r="A254" s="324"/>
      <c r="B254" s="187"/>
      <c r="C254" s="58"/>
      <c r="D254" s="318"/>
      <c r="E254" s="319"/>
      <c r="F254" s="320"/>
      <c r="G254" s="332"/>
    </row>
    <row r="255" spans="1:7" ht="15.75">
      <c r="A255" s="324"/>
      <c r="B255" s="187"/>
      <c r="C255" s="58"/>
      <c r="D255" s="318"/>
      <c r="E255" s="319"/>
      <c r="F255" s="320"/>
      <c r="G255" s="332"/>
    </row>
    <row r="256" spans="1:7" ht="15.75">
      <c r="A256" s="324"/>
      <c r="B256" s="187"/>
      <c r="C256" s="58"/>
      <c r="D256" s="318"/>
      <c r="E256" s="319"/>
      <c r="F256" s="320"/>
      <c r="G256" s="332"/>
    </row>
    <row r="257" spans="1:7" ht="15.75">
      <c r="A257" s="324"/>
      <c r="B257" s="187"/>
      <c r="C257" s="58"/>
      <c r="D257" s="318"/>
      <c r="E257" s="319"/>
      <c r="F257" s="320"/>
      <c r="G257" s="332"/>
    </row>
    <row r="258" spans="1:7" ht="15.75">
      <c r="A258" s="324"/>
      <c r="B258" s="187"/>
      <c r="C258" s="58"/>
      <c r="D258" s="318"/>
      <c r="E258" s="319"/>
      <c r="F258" s="320"/>
      <c r="G258" s="332"/>
    </row>
    <row r="259" spans="1:7" ht="15.75">
      <c r="A259" s="324"/>
      <c r="B259" s="187"/>
      <c r="C259" s="58"/>
      <c r="D259" s="318"/>
      <c r="E259" s="319"/>
      <c r="F259" s="320"/>
      <c r="G259" s="332"/>
    </row>
    <row r="260" spans="1:7" ht="15.75">
      <c r="A260" s="324"/>
      <c r="B260" s="187"/>
      <c r="C260" s="58"/>
      <c r="D260" s="318"/>
      <c r="E260" s="319"/>
      <c r="F260" s="320"/>
      <c r="G260" s="332"/>
    </row>
    <row r="261" spans="1:7" ht="15.75">
      <c r="A261" s="324"/>
      <c r="B261" s="187"/>
      <c r="C261" s="58"/>
      <c r="D261" s="318"/>
      <c r="E261" s="319"/>
      <c r="F261" s="320"/>
      <c r="G261" s="332"/>
    </row>
    <row r="262" spans="1:7" ht="15.75">
      <c r="A262" s="324"/>
      <c r="B262" s="187"/>
      <c r="C262" s="58"/>
      <c r="D262" s="318"/>
      <c r="E262" s="319"/>
      <c r="F262" s="320"/>
      <c r="G262" s="332"/>
    </row>
    <row r="263" spans="1:7" ht="15.75">
      <c r="A263" s="324"/>
      <c r="B263" s="187"/>
      <c r="C263" s="58"/>
      <c r="D263" s="318"/>
      <c r="E263" s="319"/>
      <c r="F263" s="320"/>
      <c r="G263" s="332"/>
    </row>
    <row r="264" spans="1:7" ht="15.75">
      <c r="A264" s="324"/>
      <c r="B264" s="187"/>
      <c r="C264" s="58"/>
      <c r="D264" s="318"/>
      <c r="E264" s="319"/>
      <c r="F264" s="320"/>
      <c r="G264" s="332"/>
    </row>
    <row r="265" spans="1:7" ht="15.75">
      <c r="A265" s="324"/>
      <c r="B265" s="187"/>
      <c r="C265" s="58"/>
      <c r="D265" s="318"/>
      <c r="E265" s="319"/>
      <c r="F265" s="320"/>
      <c r="G265" s="332"/>
    </row>
    <row r="266" spans="1:7" ht="15.75">
      <c r="A266" s="324"/>
      <c r="B266" s="187"/>
      <c r="C266" s="58"/>
      <c r="D266" s="318"/>
      <c r="E266" s="319"/>
      <c r="F266" s="320"/>
      <c r="G266" s="332"/>
    </row>
    <row r="267" spans="1:7" ht="15.75">
      <c r="A267" s="324"/>
      <c r="B267" s="187"/>
      <c r="C267" s="58"/>
      <c r="D267" s="318"/>
      <c r="E267" s="319"/>
      <c r="F267" s="320"/>
      <c r="G267" s="332"/>
    </row>
    <row r="268" spans="1:7" ht="15.75">
      <c r="A268" s="324"/>
      <c r="B268" s="187"/>
      <c r="C268" s="58"/>
      <c r="D268" s="318"/>
      <c r="E268" s="319"/>
      <c r="F268" s="320"/>
      <c r="G268" s="332"/>
    </row>
    <row r="269" spans="1:7" ht="15.75">
      <c r="A269" s="324"/>
      <c r="B269" s="187"/>
      <c r="C269" s="58"/>
      <c r="D269" s="318"/>
      <c r="E269" s="319"/>
      <c r="F269" s="320"/>
      <c r="G269" s="332"/>
    </row>
    <row r="270" spans="1:7" ht="15.75">
      <c r="A270" s="324"/>
      <c r="B270" s="187"/>
      <c r="C270" s="58"/>
      <c r="D270" s="318"/>
      <c r="E270" s="319"/>
      <c r="F270" s="320"/>
      <c r="G270" s="332"/>
    </row>
    <row r="271" spans="1:7" ht="15.75">
      <c r="A271" s="324"/>
      <c r="B271" s="187"/>
      <c r="C271" s="58"/>
      <c r="D271" s="318"/>
      <c r="E271" s="319"/>
      <c r="F271" s="320"/>
      <c r="G271" s="332"/>
    </row>
    <row r="272" spans="1:7" ht="15.75">
      <c r="A272" s="324"/>
      <c r="B272" s="187"/>
      <c r="C272" s="58"/>
      <c r="D272" s="318"/>
      <c r="E272" s="319"/>
      <c r="F272" s="320"/>
      <c r="G272" s="332"/>
    </row>
    <row r="273" spans="1:7" ht="15.75">
      <c r="A273" s="324"/>
      <c r="B273" s="187"/>
      <c r="C273" s="58"/>
      <c r="D273" s="318"/>
      <c r="E273" s="319"/>
      <c r="F273" s="320"/>
      <c r="G273" s="332"/>
    </row>
    <row r="274" spans="1:7" ht="15.75">
      <c r="A274" s="324"/>
      <c r="B274" s="187"/>
      <c r="C274" s="58"/>
      <c r="D274" s="318"/>
      <c r="E274" s="319"/>
      <c r="F274" s="320"/>
      <c r="G274" s="332"/>
    </row>
    <row r="275" spans="1:7" ht="15.75">
      <c r="A275" s="324"/>
      <c r="B275" s="187"/>
      <c r="C275" s="58"/>
      <c r="D275" s="318"/>
      <c r="E275" s="319"/>
      <c r="F275" s="320"/>
      <c r="G275" s="332"/>
    </row>
    <row r="276" spans="1:7" ht="15.75">
      <c r="A276" s="324"/>
      <c r="B276" s="187"/>
      <c r="C276" s="58"/>
      <c r="D276" s="318"/>
      <c r="E276" s="319"/>
      <c r="F276" s="320"/>
      <c r="G276" s="332"/>
    </row>
    <row r="277" spans="1:7" ht="15.75">
      <c r="A277" s="324"/>
      <c r="B277" s="187"/>
      <c r="C277" s="58"/>
      <c r="D277" s="318"/>
      <c r="E277" s="319"/>
      <c r="F277" s="320"/>
      <c r="G277" s="332"/>
    </row>
    <row r="278" spans="1:7" ht="15.75">
      <c r="A278" s="324"/>
      <c r="B278" s="187"/>
      <c r="C278" s="58"/>
      <c r="D278" s="318"/>
      <c r="E278" s="319"/>
      <c r="F278" s="320"/>
      <c r="G278" s="332"/>
    </row>
    <row r="279" spans="1:7" ht="15.75">
      <c r="A279" s="324"/>
      <c r="B279" s="187"/>
      <c r="C279" s="58"/>
      <c r="D279" s="318"/>
      <c r="E279" s="319"/>
      <c r="F279" s="320"/>
      <c r="G279" s="332"/>
    </row>
    <row r="280" spans="1:7" ht="15.75">
      <c r="A280" s="324"/>
      <c r="B280" s="187"/>
      <c r="C280" s="58"/>
      <c r="D280" s="318"/>
      <c r="E280" s="319"/>
      <c r="F280" s="320"/>
      <c r="G280" s="332"/>
    </row>
    <row r="281" spans="1:7" ht="15.75">
      <c r="A281" s="324"/>
      <c r="B281" s="187"/>
      <c r="C281" s="58"/>
      <c r="D281" s="318"/>
      <c r="E281" s="319"/>
      <c r="F281" s="320"/>
      <c r="G281" s="332"/>
    </row>
    <row r="282" spans="1:7" ht="15.75">
      <c r="A282" s="324"/>
      <c r="B282" s="187"/>
      <c r="C282" s="58"/>
      <c r="D282" s="318"/>
      <c r="E282" s="319"/>
      <c r="F282" s="320"/>
      <c r="G282" s="332"/>
    </row>
    <row r="283" spans="1:7" ht="15.75">
      <c r="A283" s="324"/>
      <c r="B283" s="187"/>
      <c r="C283" s="58"/>
      <c r="D283" s="318"/>
      <c r="E283" s="319"/>
      <c r="F283" s="320"/>
      <c r="G283" s="332"/>
    </row>
    <row r="284" spans="1:7" ht="15.75">
      <c r="A284" s="324"/>
      <c r="B284" s="187"/>
      <c r="C284" s="58"/>
      <c r="D284" s="318"/>
      <c r="E284" s="319"/>
      <c r="F284" s="320"/>
      <c r="G284" s="332"/>
    </row>
    <row r="285" spans="1:7" ht="15.75">
      <c r="A285" s="324"/>
      <c r="B285" s="187"/>
      <c r="C285" s="58"/>
      <c r="D285" s="318"/>
      <c r="E285" s="319"/>
      <c r="F285" s="320"/>
      <c r="G285" s="332"/>
    </row>
    <row r="286" spans="1:7" ht="15.75">
      <c r="A286" s="324"/>
      <c r="B286" s="187"/>
      <c r="C286" s="58"/>
      <c r="D286" s="318"/>
      <c r="E286" s="319"/>
      <c r="F286" s="320"/>
      <c r="G286" s="332"/>
    </row>
    <row r="287" spans="1:7" ht="15.75">
      <c r="A287" s="324"/>
      <c r="B287" s="187"/>
      <c r="C287" s="58"/>
      <c r="D287" s="318"/>
      <c r="E287" s="319"/>
      <c r="F287" s="320"/>
      <c r="G287" s="332"/>
    </row>
    <row r="288" spans="1:7" ht="15.75">
      <c r="A288" s="324"/>
      <c r="B288" s="187"/>
      <c r="C288" s="58"/>
      <c r="D288" s="318"/>
      <c r="E288" s="319"/>
      <c r="F288" s="320"/>
      <c r="G288" s="332"/>
    </row>
    <row r="289" spans="1:8" ht="15.75">
      <c r="A289" s="324"/>
      <c r="B289" s="187"/>
      <c r="C289" s="58"/>
      <c r="D289" s="318"/>
      <c r="E289" s="319"/>
      <c r="F289" s="320"/>
      <c r="G289" s="332"/>
    </row>
    <row r="290" spans="1:8" ht="15.75">
      <c r="A290" s="324"/>
      <c r="B290" s="187"/>
      <c r="C290" s="58"/>
      <c r="D290" s="318"/>
      <c r="E290" s="319"/>
      <c r="F290" s="320"/>
      <c r="G290" s="332"/>
    </row>
    <row r="291" spans="1:8" ht="15.75">
      <c r="A291" s="324"/>
      <c r="B291" s="187"/>
      <c r="C291" s="58"/>
      <c r="D291" s="318"/>
      <c r="E291" s="319"/>
      <c r="F291" s="320"/>
      <c r="G291" s="332"/>
    </row>
    <row r="292" spans="1:8" ht="15.75">
      <c r="A292" s="324"/>
      <c r="B292" s="187"/>
      <c r="C292" s="58"/>
      <c r="D292" s="318"/>
      <c r="E292" s="319"/>
      <c r="F292" s="320"/>
      <c r="G292" s="332"/>
    </row>
    <row r="293" spans="1:8" ht="15.75">
      <c r="A293" s="324"/>
      <c r="B293" s="187"/>
      <c r="C293" s="58"/>
      <c r="D293" s="318"/>
      <c r="E293" s="319"/>
      <c r="F293" s="320"/>
      <c r="G293" s="332"/>
    </row>
    <row r="294" spans="1:8" ht="15.75">
      <c r="A294" s="324"/>
      <c r="B294" s="187"/>
      <c r="C294" s="58"/>
      <c r="D294" s="318"/>
      <c r="E294" s="319"/>
      <c r="F294" s="320"/>
      <c r="G294" s="332"/>
    </row>
    <row r="295" spans="1:8" ht="15.75">
      <c r="A295" s="324"/>
      <c r="B295" s="187"/>
      <c r="C295" s="58"/>
      <c r="D295" s="318"/>
      <c r="E295" s="319"/>
      <c r="F295" s="320"/>
      <c r="G295" s="332"/>
    </row>
    <row r="296" spans="1:8" ht="15.75">
      <c r="A296" s="324"/>
      <c r="B296" s="187"/>
      <c r="C296" s="58"/>
      <c r="D296" s="318"/>
      <c r="E296" s="319"/>
      <c r="F296" s="320"/>
      <c r="G296" s="332"/>
    </row>
    <row r="297" spans="1:8" ht="15.75">
      <c r="A297" s="324"/>
      <c r="B297" s="187"/>
      <c r="C297" s="58"/>
      <c r="D297" s="318"/>
      <c r="E297" s="319"/>
      <c r="F297" s="320"/>
      <c r="G297" s="332"/>
    </row>
    <row r="298" spans="1:8" ht="15.75">
      <c r="A298" s="324"/>
      <c r="B298" s="187"/>
      <c r="C298" s="58"/>
      <c r="D298" s="318"/>
      <c r="E298" s="319"/>
      <c r="F298" s="320"/>
      <c r="G298" s="332"/>
    </row>
    <row r="299" spans="1:8" ht="15.75">
      <c r="A299" s="324"/>
      <c r="B299" s="187"/>
      <c r="C299" s="58"/>
      <c r="D299" s="318"/>
      <c r="E299" s="319"/>
      <c r="F299" s="320"/>
      <c r="G299" s="332"/>
    </row>
    <row r="300" spans="1:8" ht="15.75">
      <c r="A300" s="324"/>
      <c r="B300" s="187"/>
      <c r="C300" s="58"/>
      <c r="D300" s="318"/>
      <c r="E300" s="319"/>
      <c r="F300" s="320"/>
      <c r="G300" s="332"/>
    </row>
    <row r="301" spans="1:8" ht="13.5" thickBot="1">
      <c r="A301" s="325"/>
      <c r="B301" s="335" t="s">
        <v>2584</v>
      </c>
      <c r="C301" s="335"/>
      <c r="D301" s="335"/>
      <c r="E301" s="335"/>
      <c r="F301" s="335"/>
      <c r="G301" s="333"/>
    </row>
    <row r="302" spans="1:8" ht="13.5" thickTop="1">
      <c r="D302" s="184" t="s">
        <v>570</v>
      </c>
    </row>
    <row r="303" spans="1:8" hidden="1">
      <c r="A303" s="127" t="s">
        <v>1853</v>
      </c>
      <c r="B303" s="188" t="s">
        <v>1854</v>
      </c>
      <c r="C303" s="127" t="s">
        <v>1855</v>
      </c>
      <c r="D303" s="127" t="s">
        <v>1856</v>
      </c>
      <c r="E303" s="127" t="s">
        <v>1355</v>
      </c>
      <c r="F303" s="127" t="s">
        <v>1356</v>
      </c>
      <c r="G303" s="127" t="s">
        <v>1357</v>
      </c>
      <c r="H303" s="127" t="s">
        <v>1116</v>
      </c>
    </row>
    <row r="304" spans="1:8" hidden="1">
      <c r="A304" s="127" t="s">
        <v>1962</v>
      </c>
      <c r="B304" s="188" t="s">
        <v>521</v>
      </c>
      <c r="C304" s="127" t="s">
        <v>522</v>
      </c>
      <c r="D304" s="127" t="s">
        <v>941</v>
      </c>
      <c r="E304" s="127" t="s">
        <v>539</v>
      </c>
      <c r="F304" s="127" t="s">
        <v>523</v>
      </c>
      <c r="G304" s="127" t="s">
        <v>942</v>
      </c>
      <c r="H304" s="127" t="s">
        <v>524</v>
      </c>
    </row>
    <row r="305" spans="1:8" hidden="1">
      <c r="A305" s="127" t="s">
        <v>1963</v>
      </c>
      <c r="B305" s="188" t="s">
        <v>525</v>
      </c>
      <c r="C305" s="127" t="s">
        <v>526</v>
      </c>
      <c r="D305" s="127" t="s">
        <v>527</v>
      </c>
      <c r="E305" s="127" t="s">
        <v>528</v>
      </c>
      <c r="F305" s="127" t="s">
        <v>529</v>
      </c>
      <c r="G305" s="127" t="s">
        <v>530</v>
      </c>
      <c r="H305" s="127" t="s">
        <v>531</v>
      </c>
    </row>
    <row r="306" spans="1:8" hidden="1">
      <c r="A306" s="127" t="s">
        <v>1964</v>
      </c>
      <c r="B306" s="188" t="s">
        <v>532</v>
      </c>
      <c r="C306" s="127" t="s">
        <v>533</v>
      </c>
      <c r="D306" s="127" t="s">
        <v>534</v>
      </c>
      <c r="E306" s="127" t="s">
        <v>535</v>
      </c>
      <c r="F306" s="127" t="s">
        <v>536</v>
      </c>
      <c r="G306" s="127" t="s">
        <v>537</v>
      </c>
      <c r="H306" s="127" t="s">
        <v>538</v>
      </c>
    </row>
    <row r="307" spans="1:8" hidden="1">
      <c r="A307" s="127" t="s">
        <v>1765</v>
      </c>
      <c r="B307" s="188" t="s">
        <v>1863</v>
      </c>
      <c r="C307" s="127" t="s">
        <v>1916</v>
      </c>
      <c r="D307" s="127" t="s">
        <v>1238</v>
      </c>
      <c r="E307" s="127" t="s">
        <v>1239</v>
      </c>
      <c r="F307" s="127" t="s">
        <v>1240</v>
      </c>
      <c r="G307" s="127" t="s">
        <v>943</v>
      </c>
      <c r="H307" s="127" t="s">
        <v>1242</v>
      </c>
    </row>
  </sheetData>
  <sheetProtection password="C453" sheet="1" objects="1" scenarios="1" insertRows="0" deleteRows="0" sort="0"/>
  <mergeCells count="302">
    <mergeCell ref="D300:F300"/>
    <mergeCell ref="B301:F301"/>
    <mergeCell ref="D293:F293"/>
    <mergeCell ref="D294:F294"/>
    <mergeCell ref="D295:F295"/>
    <mergeCell ref="D296:F296"/>
    <mergeCell ref="D297:F297"/>
    <mergeCell ref="D298:F298"/>
    <mergeCell ref="D287:F287"/>
    <mergeCell ref="D288:F288"/>
    <mergeCell ref="D289:F289"/>
    <mergeCell ref="D290:F290"/>
    <mergeCell ref="B4:F4"/>
    <mergeCell ref="D299:F299"/>
    <mergeCell ref="D277:F277"/>
    <mergeCell ref="D278:F278"/>
    <mergeCell ref="D291:F291"/>
    <mergeCell ref="D292:F292"/>
    <mergeCell ref="D281:F281"/>
    <mergeCell ref="D282:F282"/>
    <mergeCell ref="D283:F283"/>
    <mergeCell ref="D284:F284"/>
    <mergeCell ref="D285:F285"/>
    <mergeCell ref="D286:F286"/>
    <mergeCell ref="D279:F279"/>
    <mergeCell ref="D280:F280"/>
    <mergeCell ref="D269:F269"/>
    <mergeCell ref="D270:F270"/>
    <mergeCell ref="D271:F271"/>
    <mergeCell ref="D272:F272"/>
    <mergeCell ref="D273:F273"/>
    <mergeCell ref="D274:F274"/>
    <mergeCell ref="D275:F275"/>
    <mergeCell ref="D276:F276"/>
    <mergeCell ref="D261:F261"/>
    <mergeCell ref="D262:F262"/>
    <mergeCell ref="D263:F263"/>
    <mergeCell ref="D264:F264"/>
    <mergeCell ref="D265:F265"/>
    <mergeCell ref="D266:F266"/>
    <mergeCell ref="D251:F251"/>
    <mergeCell ref="D252:F252"/>
    <mergeCell ref="D253:F253"/>
    <mergeCell ref="D254:F254"/>
    <mergeCell ref="D267:F267"/>
    <mergeCell ref="D268:F268"/>
    <mergeCell ref="D257:F257"/>
    <mergeCell ref="D258:F258"/>
    <mergeCell ref="D259:F259"/>
    <mergeCell ref="D260:F260"/>
    <mergeCell ref="D241:F241"/>
    <mergeCell ref="D242:F242"/>
    <mergeCell ref="D255:F255"/>
    <mergeCell ref="D256:F256"/>
    <mergeCell ref="D245:F245"/>
    <mergeCell ref="D246:F246"/>
    <mergeCell ref="D247:F247"/>
    <mergeCell ref="D248:F248"/>
    <mergeCell ref="D249:F249"/>
    <mergeCell ref="D250:F250"/>
    <mergeCell ref="D243:F243"/>
    <mergeCell ref="D244:F244"/>
    <mergeCell ref="D233:F233"/>
    <mergeCell ref="D234:F234"/>
    <mergeCell ref="D235:F235"/>
    <mergeCell ref="D236:F236"/>
    <mergeCell ref="D237:F237"/>
    <mergeCell ref="D238:F238"/>
    <mergeCell ref="D239:F239"/>
    <mergeCell ref="D240:F240"/>
    <mergeCell ref="D225:F225"/>
    <mergeCell ref="D226:F226"/>
    <mergeCell ref="D227:F227"/>
    <mergeCell ref="D228:F228"/>
    <mergeCell ref="D229:F229"/>
    <mergeCell ref="D230:F230"/>
    <mergeCell ref="D215:F215"/>
    <mergeCell ref="D216:F216"/>
    <mergeCell ref="D217:F217"/>
    <mergeCell ref="D218:F218"/>
    <mergeCell ref="D231:F231"/>
    <mergeCell ref="D232:F232"/>
    <mergeCell ref="D221:F221"/>
    <mergeCell ref="D222:F222"/>
    <mergeCell ref="D223:F223"/>
    <mergeCell ref="D224:F224"/>
    <mergeCell ref="D205:F205"/>
    <mergeCell ref="D206:F206"/>
    <mergeCell ref="D219:F219"/>
    <mergeCell ref="D220:F220"/>
    <mergeCell ref="D209:F209"/>
    <mergeCell ref="D210:F210"/>
    <mergeCell ref="D211:F211"/>
    <mergeCell ref="D212:F212"/>
    <mergeCell ref="D213:F213"/>
    <mergeCell ref="D214:F214"/>
    <mergeCell ref="D207:F207"/>
    <mergeCell ref="D208:F208"/>
    <mergeCell ref="D197:F197"/>
    <mergeCell ref="D198:F198"/>
    <mergeCell ref="D199:F199"/>
    <mergeCell ref="D200:F200"/>
    <mergeCell ref="D201:F201"/>
    <mergeCell ref="D202:F202"/>
    <mergeCell ref="D203:F203"/>
    <mergeCell ref="D204:F204"/>
    <mergeCell ref="D189:F189"/>
    <mergeCell ref="D190:F190"/>
    <mergeCell ref="D191:F191"/>
    <mergeCell ref="D192:F192"/>
    <mergeCell ref="D193:F193"/>
    <mergeCell ref="D194:F194"/>
    <mergeCell ref="D179:F179"/>
    <mergeCell ref="D180:F180"/>
    <mergeCell ref="D181:F181"/>
    <mergeCell ref="D182:F182"/>
    <mergeCell ref="D195:F195"/>
    <mergeCell ref="D196:F196"/>
    <mergeCell ref="D185:F185"/>
    <mergeCell ref="D186:F186"/>
    <mergeCell ref="D187:F187"/>
    <mergeCell ref="D188:F188"/>
    <mergeCell ref="D169:F169"/>
    <mergeCell ref="D170:F170"/>
    <mergeCell ref="D183:F183"/>
    <mergeCell ref="D184:F184"/>
    <mergeCell ref="D173:F173"/>
    <mergeCell ref="D174:F174"/>
    <mergeCell ref="D175:F175"/>
    <mergeCell ref="D176:F176"/>
    <mergeCell ref="D177:F177"/>
    <mergeCell ref="D178:F178"/>
    <mergeCell ref="D171:F171"/>
    <mergeCell ref="D172:F172"/>
    <mergeCell ref="D161:F161"/>
    <mergeCell ref="D162:F162"/>
    <mergeCell ref="D163:F163"/>
    <mergeCell ref="D164:F164"/>
    <mergeCell ref="D165:F165"/>
    <mergeCell ref="D166:F166"/>
    <mergeCell ref="D167:F167"/>
    <mergeCell ref="D168:F168"/>
    <mergeCell ref="D153:F153"/>
    <mergeCell ref="D154:F154"/>
    <mergeCell ref="D155:F155"/>
    <mergeCell ref="D156:F156"/>
    <mergeCell ref="D157:F157"/>
    <mergeCell ref="D158:F158"/>
    <mergeCell ref="D143:F143"/>
    <mergeCell ref="D144:F144"/>
    <mergeCell ref="D145:F145"/>
    <mergeCell ref="D146:F146"/>
    <mergeCell ref="D159:F159"/>
    <mergeCell ref="D160:F160"/>
    <mergeCell ref="D149:F149"/>
    <mergeCell ref="D150:F150"/>
    <mergeCell ref="D151:F151"/>
    <mergeCell ref="D152:F152"/>
    <mergeCell ref="D133:F133"/>
    <mergeCell ref="D134:F134"/>
    <mergeCell ref="D147:F147"/>
    <mergeCell ref="D148:F148"/>
    <mergeCell ref="D137:F137"/>
    <mergeCell ref="D138:F138"/>
    <mergeCell ref="D139:F139"/>
    <mergeCell ref="D140:F140"/>
    <mergeCell ref="D141:F141"/>
    <mergeCell ref="D142:F142"/>
    <mergeCell ref="D135:F135"/>
    <mergeCell ref="D136:F136"/>
    <mergeCell ref="D125:F125"/>
    <mergeCell ref="D126:F126"/>
    <mergeCell ref="D127:F127"/>
    <mergeCell ref="D128:F128"/>
    <mergeCell ref="D129:F129"/>
    <mergeCell ref="D130:F130"/>
    <mergeCell ref="D131:F131"/>
    <mergeCell ref="D132:F132"/>
    <mergeCell ref="D117:F117"/>
    <mergeCell ref="D118:F118"/>
    <mergeCell ref="D119:F119"/>
    <mergeCell ref="D120:F120"/>
    <mergeCell ref="D121:F121"/>
    <mergeCell ref="D122:F122"/>
    <mergeCell ref="D107:F107"/>
    <mergeCell ref="D108:F108"/>
    <mergeCell ref="D109:F109"/>
    <mergeCell ref="D110:F110"/>
    <mergeCell ref="D123:F123"/>
    <mergeCell ref="D124:F124"/>
    <mergeCell ref="D113:F113"/>
    <mergeCell ref="D114:F114"/>
    <mergeCell ref="D115:F115"/>
    <mergeCell ref="D116:F116"/>
    <mergeCell ref="D97:F97"/>
    <mergeCell ref="D98:F98"/>
    <mergeCell ref="D111:F111"/>
    <mergeCell ref="D112:F112"/>
    <mergeCell ref="D101:F101"/>
    <mergeCell ref="D102:F102"/>
    <mergeCell ref="D103:F103"/>
    <mergeCell ref="D104:F104"/>
    <mergeCell ref="D105:F105"/>
    <mergeCell ref="D106:F106"/>
    <mergeCell ref="D99:F99"/>
    <mergeCell ref="D100:F100"/>
    <mergeCell ref="D89:F89"/>
    <mergeCell ref="D90:F90"/>
    <mergeCell ref="D91:F91"/>
    <mergeCell ref="D92:F92"/>
    <mergeCell ref="D93:F93"/>
    <mergeCell ref="D94:F94"/>
    <mergeCell ref="D95:F95"/>
    <mergeCell ref="D96:F96"/>
    <mergeCell ref="D81:F81"/>
    <mergeCell ref="D82:F82"/>
    <mergeCell ref="D83:F83"/>
    <mergeCell ref="D84:F84"/>
    <mergeCell ref="D85:F85"/>
    <mergeCell ref="D86:F86"/>
    <mergeCell ref="D71:F71"/>
    <mergeCell ref="D72:F72"/>
    <mergeCell ref="D73:F73"/>
    <mergeCell ref="D74:F74"/>
    <mergeCell ref="D87:F87"/>
    <mergeCell ref="D88:F88"/>
    <mergeCell ref="D77:F77"/>
    <mergeCell ref="D78:F78"/>
    <mergeCell ref="D79:F79"/>
    <mergeCell ref="D80:F80"/>
    <mergeCell ref="D61:F61"/>
    <mergeCell ref="D62:F62"/>
    <mergeCell ref="D75:F75"/>
    <mergeCell ref="D76:F76"/>
    <mergeCell ref="D65:F65"/>
    <mergeCell ref="D66:F66"/>
    <mergeCell ref="D67:F67"/>
    <mergeCell ref="D68:F68"/>
    <mergeCell ref="D69:F69"/>
    <mergeCell ref="D70:F70"/>
    <mergeCell ref="D63:F63"/>
    <mergeCell ref="D64:F64"/>
    <mergeCell ref="D53:F53"/>
    <mergeCell ref="D54:F54"/>
    <mergeCell ref="D55:F55"/>
    <mergeCell ref="D56:F56"/>
    <mergeCell ref="D57:F57"/>
    <mergeCell ref="D58:F58"/>
    <mergeCell ref="D59:F59"/>
    <mergeCell ref="D60:F60"/>
    <mergeCell ref="D43:F43"/>
    <mergeCell ref="D44:F44"/>
    <mergeCell ref="D49:F49"/>
    <mergeCell ref="D50:F50"/>
    <mergeCell ref="D51:F51"/>
    <mergeCell ref="D52:F52"/>
    <mergeCell ref="D29:F29"/>
    <mergeCell ref="D30:F30"/>
    <mergeCell ref="D31:F31"/>
    <mergeCell ref="D32:F32"/>
    <mergeCell ref="D33:F33"/>
    <mergeCell ref="D34:F34"/>
    <mergeCell ref="D35:F35"/>
    <mergeCell ref="D36:F36"/>
    <mergeCell ref="D37:F37"/>
    <mergeCell ref="D38:F38"/>
    <mergeCell ref="D45:F45"/>
    <mergeCell ref="D46:F46"/>
    <mergeCell ref="D40:F40"/>
    <mergeCell ref="D39:F39"/>
    <mergeCell ref="D41:F41"/>
    <mergeCell ref="D42:F42"/>
    <mergeCell ref="D11:F11"/>
    <mergeCell ref="D12:F12"/>
    <mergeCell ref="D13:F13"/>
    <mergeCell ref="D14:F14"/>
    <mergeCell ref="D47:F47"/>
    <mergeCell ref="D48:F48"/>
    <mergeCell ref="D19:F19"/>
    <mergeCell ref="D20:F20"/>
    <mergeCell ref="D21:F21"/>
    <mergeCell ref="D22:F22"/>
    <mergeCell ref="D15:F15"/>
    <mergeCell ref="D16:F16"/>
    <mergeCell ref="A1:G1"/>
    <mergeCell ref="A2:A301"/>
    <mergeCell ref="B2:D3"/>
    <mergeCell ref="G2:G301"/>
    <mergeCell ref="D5:F5"/>
    <mergeCell ref="D6:F6"/>
    <mergeCell ref="D7:F7"/>
    <mergeCell ref="D8:F8"/>
    <mergeCell ref="D25:F25"/>
    <mergeCell ref="D26:F26"/>
    <mergeCell ref="D27:F27"/>
    <mergeCell ref="D28:F28"/>
    <mergeCell ref="D9:F9"/>
    <mergeCell ref="D10:F10"/>
    <mergeCell ref="D23:F23"/>
    <mergeCell ref="D24:F24"/>
    <mergeCell ref="D17:F17"/>
    <mergeCell ref="D18:F18"/>
  </mergeCells>
  <phoneticPr fontId="0" type="noConversion"/>
  <hyperlinks>
    <hyperlink ref="B4:F4" location="Declaration!D8" display="Click here to return to Declaration tab"/>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Revision</vt:lpstr>
      <vt:lpstr>Instructions</vt:lpstr>
      <vt:lpstr>Definitions</vt:lpstr>
      <vt:lpstr>Declaration</vt:lpstr>
      <vt:lpstr>Smelter List</vt:lpstr>
      <vt:lpstr>Standard Smelter Names</vt:lpstr>
      <vt:lpstr>Checker</vt:lpstr>
      <vt:lpstr>Product List</vt:lpstr>
      <vt:lpstr>Gold</vt:lpstr>
      <vt:lpstr>Metal</vt:lpstr>
      <vt:lpstr>Tantalum</vt:lpstr>
      <vt:lpstr>Tin</vt:lpstr>
      <vt:lpstr>Tungsten</vt:lpstr>
    </vt:vector>
  </TitlesOfParts>
  <Company>Apple Computer,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phu</cp:lastModifiedBy>
  <cp:lastPrinted>2013-08-30T00:03:06Z</cp:lastPrinted>
  <dcterms:created xsi:type="dcterms:W3CDTF">2010-06-21T21:00:23Z</dcterms:created>
  <dcterms:modified xsi:type="dcterms:W3CDTF">2013-11-18T07:00:09Z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